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15480" windowHeight="5130" tabRatio="575" activeTab="0"/>
  </bookViews>
  <sheets>
    <sheet name="RESUMEN EV. TECNICA" sheetId="1" r:id="rId1"/>
    <sheet name="PARAMETROS" sheetId="2" r:id="rId2"/>
    <sheet name="UT SERVEX-STIGLITZ" sheetId="3" r:id="rId3"/>
    <sheet name="UT UMNG 2010" sheetId="4" r:id="rId4"/>
    <sheet name="CON CIEN BAS" sheetId="5" r:id="rId5"/>
    <sheet name="SOLINOFF" sheetId="6" r:id="rId6"/>
  </sheets>
  <externalReferences>
    <externalReference r:id="rId9"/>
  </externalReferences>
  <definedNames>
    <definedName name="\X" localSheetId="4">[0]!ERR</definedName>
    <definedName name="\X" localSheetId="5">[0]!ERR</definedName>
    <definedName name="\X" localSheetId="2">[0]!ERR</definedName>
    <definedName name="\X" localSheetId="3">[0]!ERR</definedName>
    <definedName name="\X">[0]!ERR</definedName>
    <definedName name="\Z" localSheetId="4">[0]!ERR</definedName>
    <definedName name="\Z" localSheetId="5">[0]!ERR</definedName>
    <definedName name="\Z" localSheetId="2">[0]!ERR</definedName>
    <definedName name="\Z" localSheetId="3">[0]!ERR</definedName>
    <definedName name="\Z">[0]!ERR</definedName>
    <definedName name="_F4" localSheetId="4">[0]!ERR</definedName>
    <definedName name="_F4" localSheetId="5">[0]!ERR</definedName>
    <definedName name="_F4" localSheetId="2">[0]!ERR</definedName>
    <definedName name="_F4" localSheetId="3">[0]!ERR</definedName>
    <definedName name="_F4">[0]!ERR</definedName>
    <definedName name="_FS01" localSheetId="4">[0]!ERR</definedName>
    <definedName name="_FS01" localSheetId="5">[0]!ERR</definedName>
    <definedName name="_FS01" localSheetId="2">[0]!ERR</definedName>
    <definedName name="_FS01" localSheetId="3">[0]!ERR</definedName>
    <definedName name="_FS01">[0]!ERR</definedName>
    <definedName name="A" localSheetId="4">[0]!ERR</definedName>
    <definedName name="A" localSheetId="5">[0]!ERR</definedName>
    <definedName name="A" localSheetId="2">[0]!ERR</definedName>
    <definedName name="A" localSheetId="3">[0]!ERR</definedName>
    <definedName name="A">[0]!ERR</definedName>
    <definedName name="AAA" localSheetId="4">[0]!ERR</definedName>
    <definedName name="AAA" localSheetId="5">[0]!ERR</definedName>
    <definedName name="AAA" localSheetId="2">[0]!ERR</definedName>
    <definedName name="AAA" localSheetId="3">[0]!ERR</definedName>
    <definedName name="AAA">[0]!ERR</definedName>
    <definedName name="_xlnm.Print_Area" localSheetId="4">'CON CIEN BAS'!$A$30:$N$55</definedName>
    <definedName name="_xlnm.Print_Area" localSheetId="1">'PARAMETROS'!$A$1:$F$28</definedName>
    <definedName name="_xlnm.Print_Area" localSheetId="0">'RESUMEN EV. TECNICA'!$A$1:$N$27</definedName>
    <definedName name="_xlnm.Print_Area" localSheetId="5">'SOLINOFF'!$A$30:$N$57</definedName>
    <definedName name="_xlnm.Print_Area" localSheetId="2">'UT SERVEX-STIGLITZ'!$A$31:$N$57</definedName>
    <definedName name="_xlnm.Print_Area" localSheetId="3">'UT UMNG 2010'!$A$30:$N$56</definedName>
    <definedName name="BB" localSheetId="4">[0]!ERR</definedName>
    <definedName name="BB" localSheetId="5">[0]!ERR</definedName>
    <definedName name="BB" localSheetId="2">[0]!ERR</definedName>
    <definedName name="BB" localSheetId="3">[0]!ERR</definedName>
    <definedName name="BB">[0]!ERR</definedName>
    <definedName name="COSTODIRECTO" localSheetId="4">#REF!</definedName>
    <definedName name="COSTODIRECTO" localSheetId="5">#REF!</definedName>
    <definedName name="COSTODIRECTO" localSheetId="2">#REF!</definedName>
    <definedName name="COSTODIRECTO" localSheetId="3">#REF!</definedName>
    <definedName name="COSTODIRECTO">#REF!</definedName>
    <definedName name="CUAL" localSheetId="4">[0]!ERR</definedName>
    <definedName name="CUAL" localSheetId="5">[0]!ERR</definedName>
    <definedName name="CUAL" localSheetId="2">[0]!ERR</definedName>
    <definedName name="CUAL" localSheetId="3">[0]!ERR</definedName>
    <definedName name="CUAL">[0]!ERR</definedName>
    <definedName name="curva">"Chart 11"</definedName>
    <definedName name="dd" localSheetId="4">[0]!ERR</definedName>
    <definedName name="dd" localSheetId="5">[0]!ERR</definedName>
    <definedName name="dd" localSheetId="2">[0]!ERR</definedName>
    <definedName name="dd" localSheetId="3">[0]!ERR</definedName>
    <definedName name="dd">[0]!ERR</definedName>
    <definedName name="ES" localSheetId="4">[0]!ERR</definedName>
    <definedName name="ES" localSheetId="5">[0]!ERR</definedName>
    <definedName name="ES" localSheetId="2">[0]!ERR</definedName>
    <definedName name="ES" localSheetId="3">[0]!ERR</definedName>
    <definedName name="ES">[0]!ERR</definedName>
    <definedName name="ff" localSheetId="4">[0]!ERR</definedName>
    <definedName name="ff" localSheetId="5">[0]!ERR</definedName>
    <definedName name="ff" localSheetId="2">[0]!ERR</definedName>
    <definedName name="ff" localSheetId="3">[0]!ERR</definedName>
    <definedName name="ff">[0]!ERR</definedName>
    <definedName name="FINANCIACION" localSheetId="4">[0]!ERR</definedName>
    <definedName name="FINANCIACION" localSheetId="5">[0]!ERR</definedName>
    <definedName name="FINANCIACION" localSheetId="2">[0]!ERR</definedName>
    <definedName name="FINANCIACION" localSheetId="3">[0]!ERR</definedName>
    <definedName name="FINANCIACION">[0]!ERR</definedName>
    <definedName name="GGG" localSheetId="4">[0]!ERR</definedName>
    <definedName name="GGG" localSheetId="5">[0]!ERR</definedName>
    <definedName name="GGG" localSheetId="2">[0]!ERR</definedName>
    <definedName name="GGG" localSheetId="3">[0]!ERR</definedName>
    <definedName name="GGG">[0]!ERR</definedName>
    <definedName name="JOHNNY" localSheetId="4">[0]!ERR</definedName>
    <definedName name="JOHNNY" localSheetId="5">[0]!ERR</definedName>
    <definedName name="JOHNNY" localSheetId="2">[0]!ERR</definedName>
    <definedName name="JOHNNY" localSheetId="3">[0]!ERR</definedName>
    <definedName name="JOHNNY">[0]!ERR</definedName>
    <definedName name="LOGO" localSheetId="4">[0]!ERR</definedName>
    <definedName name="LOGO" localSheetId="5">[0]!ERR</definedName>
    <definedName name="LOGO" localSheetId="2">[0]!ERR</definedName>
    <definedName name="LOGO" localSheetId="3">[0]!ERR</definedName>
    <definedName name="LOGO">[0]!ERR</definedName>
    <definedName name="NO" localSheetId="4">[0]!ERR</definedName>
    <definedName name="NO" localSheetId="5">[0]!ERR</definedName>
    <definedName name="NO" localSheetId="2">[0]!ERR</definedName>
    <definedName name="NO" localSheetId="3">[0]!ERR</definedName>
    <definedName name="NO">[0]!ERR</definedName>
    <definedName name="PPPP" localSheetId="4">[0]!ERR</definedName>
    <definedName name="PPPP" localSheetId="5">[0]!ERR</definedName>
    <definedName name="PPPP" localSheetId="2">[0]!ERR</definedName>
    <definedName name="PPPP" localSheetId="3">[0]!ERR</definedName>
    <definedName name="PPPP">[0]!ERR</definedName>
    <definedName name="PROFESIONES" localSheetId="4">#REF!</definedName>
    <definedName name="PROFESIONES" localSheetId="5">#REF!</definedName>
    <definedName name="PROFESIONES" localSheetId="2">#REF!</definedName>
    <definedName name="PROFESIONES" localSheetId="3">#REF!</definedName>
    <definedName name="PROFESIONES">#REF!</definedName>
    <definedName name="programainv" localSheetId="4">[0]!ERR</definedName>
    <definedName name="programainv" localSheetId="5">[0]!ERR</definedName>
    <definedName name="programainv" localSheetId="2">[0]!ERR</definedName>
    <definedName name="programainv" localSheetId="3">[0]!ERR</definedName>
    <definedName name="programainv">[0]!ERR</definedName>
    <definedName name="REICIO" localSheetId="4">[0]!ERR</definedName>
    <definedName name="REICIO" localSheetId="5">[0]!ERR</definedName>
    <definedName name="REICIO" localSheetId="2">[0]!ERR</definedName>
    <definedName name="REICIO" localSheetId="3">[0]!ERR</definedName>
    <definedName name="REICIO">[0]!ERR</definedName>
    <definedName name="reinicio" localSheetId="4">[0]!ERR</definedName>
    <definedName name="reinicio" localSheetId="5">[0]!ERR</definedName>
    <definedName name="reinicio" localSheetId="2">[0]!ERR</definedName>
    <definedName name="reinicio" localSheetId="3">[0]!ERR</definedName>
    <definedName name="reinicio">[0]!ERR</definedName>
    <definedName name="rr" localSheetId="4">[0]!ERR</definedName>
    <definedName name="rr" localSheetId="5">[0]!ERR</definedName>
    <definedName name="rr" localSheetId="2">[0]!ERR</definedName>
    <definedName name="rr" localSheetId="3">[0]!ERR</definedName>
    <definedName name="rr">[0]!ERR</definedName>
    <definedName name="SERO" localSheetId="4">[0]!ERR</definedName>
    <definedName name="SERO" localSheetId="5">[0]!ERR</definedName>
    <definedName name="SERO" localSheetId="2">[0]!ERR</definedName>
    <definedName name="SERO" localSheetId="3">[0]!ERR</definedName>
    <definedName name="SERO">[0]!ERR</definedName>
    <definedName name="SI" localSheetId="4">[0]!ERR</definedName>
    <definedName name="SI" localSheetId="5">[0]!ERR</definedName>
    <definedName name="SI" localSheetId="2">[0]!ERR</definedName>
    <definedName name="SI" localSheetId="3">[0]!ERR</definedName>
    <definedName name="SI">[0]!ERR</definedName>
    <definedName name="SISISIS" localSheetId="4">[0]!ERR</definedName>
    <definedName name="SISISIS" localSheetId="5">[0]!ERR</definedName>
    <definedName name="SISISIS" localSheetId="2">[0]!ERR</definedName>
    <definedName name="SISISIS" localSheetId="3">[0]!ERR</definedName>
    <definedName name="SISISIS">[0]!ERR</definedName>
    <definedName name="TARIFAS">'[1]TARIFAS'!$A$1:$F$52</definedName>
  </definedNames>
  <calcPr fullCalcOnLoad="1"/>
</workbook>
</file>

<file path=xl/sharedStrings.xml><?xml version="1.0" encoding="utf-8"?>
<sst xmlns="http://schemas.openxmlformats.org/spreadsheetml/2006/main" count="485" uniqueCount="145">
  <si>
    <t>PROPONENTE</t>
  </si>
  <si>
    <t>% DE PARTICIPACIÓN</t>
  </si>
  <si>
    <t>SANCIONES</t>
  </si>
  <si>
    <t>INTEGRANTES</t>
  </si>
  <si>
    <t>EXPERIENCIA CERTIFICADA</t>
  </si>
  <si>
    <t>N°</t>
  </si>
  <si>
    <t>CONTRATANTE</t>
  </si>
  <si>
    <t>CONTRATISTA</t>
  </si>
  <si>
    <t>%</t>
  </si>
  <si>
    <t>PORCENTAJE A APLICAR</t>
  </si>
  <si>
    <t>FECHA INICIO</t>
  </si>
  <si>
    <t>FECHA TERMINO</t>
  </si>
  <si>
    <t>VALOR EN $</t>
  </si>
  <si>
    <t>VALOR EN SMMLV</t>
  </si>
  <si>
    <t>REQUISITOS MÍNIMOS DE EXPERIENCIA</t>
  </si>
  <si>
    <t>(1 * 5)</t>
  </si>
  <si>
    <t>SMMLV</t>
  </si>
  <si>
    <t>OBSERVACIONES:</t>
  </si>
  <si>
    <t>SUMATORIA EXPERIENCIA</t>
  </si>
  <si>
    <t>VALOR SUPERIOR A EXPERIENCIA MÍNIMA EN SMMLV</t>
  </si>
  <si>
    <t>CUMPLE</t>
  </si>
  <si>
    <t>PUNTAJE</t>
  </si>
  <si>
    <t>A NOMBRE DE</t>
  </si>
  <si>
    <t>ENTE CERTIFICADOR</t>
  </si>
  <si>
    <t>ALCANCE DE LA CERTIFICACIÓN</t>
  </si>
  <si>
    <t>VIGENCIA</t>
  </si>
  <si>
    <t>K RESIDUAL</t>
  </si>
  <si>
    <t>INTEGRANTE</t>
  </si>
  <si>
    <t>CAPACIDAD DE CONTRATACIÓN EN SMMLV</t>
  </si>
  <si>
    <t>K COMPROMETIDO EN SMMLV</t>
  </si>
  <si>
    <t>K RESIDUAL EN SMMLV</t>
  </si>
  <si>
    <t>K RESIDUAL TOTAL EN SMMLV</t>
  </si>
  <si>
    <t>CAPACIDAD DE CONTRATACIÓN TOTAL EN SMMLV</t>
  </si>
  <si>
    <t>EL COMITÉ TÉCNICO</t>
  </si>
  <si>
    <t>VALOR A APLICAR EN SMMLV</t>
  </si>
  <si>
    <t>Sumatoria Experiencia</t>
  </si>
  <si>
    <t>Presupuesto Oficial</t>
  </si>
  <si>
    <t>Salarios Mínimos Adicionales</t>
  </si>
  <si>
    <t>Vr. Min Certificación</t>
  </si>
  <si>
    <t>PARAMETRO</t>
  </si>
  <si>
    <t>VALOR</t>
  </si>
  <si>
    <t>AÑO</t>
  </si>
  <si>
    <t>RUP</t>
  </si>
  <si>
    <t>3 VECES PPTO OFIC</t>
  </si>
  <si>
    <t>2 VECES PPTO OFIC</t>
  </si>
  <si>
    <t>1.5 VECES EL PPTO OFICIAL</t>
  </si>
  <si>
    <t>EVALUACIÓN TÉCNICA</t>
  </si>
  <si>
    <t>EXPERIENCIA ESPECÍFICA</t>
  </si>
  <si>
    <t>PUNTAJE CERTIFICACIONES</t>
  </si>
  <si>
    <t>CAPACIDAD DE CONTRATACIÓN - K</t>
  </si>
  <si>
    <t>REPORTE DE MULTAS O SANCIONES</t>
  </si>
  <si>
    <t>CUMPLE O NO CUMPLE</t>
  </si>
  <si>
    <t>EXPERIENCIA CERTIFICADA
(SMMLV)</t>
  </si>
  <si>
    <t>EXPERIENCIA CERTIFICADA SUPERIOR AL MÍNIMO SOLICITADO</t>
  </si>
  <si>
    <t>ISO 9001</t>
  </si>
  <si>
    <t>PROPUESTA ECONÓMICA</t>
  </si>
  <si>
    <t>TOTAL PUNTAJE TÉCNICO</t>
  </si>
  <si>
    <t>VALOR PRESENTADO</t>
  </si>
  <si>
    <t>VALOR CORREGIDO</t>
  </si>
  <si>
    <t>ERROR</t>
  </si>
  <si>
    <t>% DE ERROR</t>
  </si>
  <si>
    <t>NO TIENE</t>
  </si>
  <si>
    <t>A</t>
  </si>
  <si>
    <t>K DE CONTRATACION</t>
  </si>
  <si>
    <t>20% DE LA CAPACIDAD DE CONTRATACION</t>
  </si>
  <si>
    <t>UNO DE LOS INTEGRANTES DEL CONSORCIO O DE LA UNIÓN TEMPORAL TIENE COMO MÍNIMO EL 50% DE LA CAPACIDAD TOTAL DE CONTRATACIÓN</t>
  </si>
  <si>
    <t>UNO DE LOS INTEGRANTES DEL CONSORCIO O DE LA UNIÓN TEMPORAL TIENE COMO MÍNIMO EL 50% DE LA CAPACIDAD RESIDUAL DE CONTRATACIÓN</t>
  </si>
  <si>
    <t>EVALUACIÓN JURÍDICA</t>
  </si>
  <si>
    <t>EVALUACIÓN FINANCIERA</t>
  </si>
  <si>
    <t>SGS</t>
  </si>
  <si>
    <t>CERTIFICACIONES</t>
  </si>
  <si>
    <t>NO CUMPLE</t>
  </si>
  <si>
    <t>INVITACIÓN PÚBLICA No.006 DE 2010</t>
  </si>
  <si>
    <t>SELECCIÓN DEL CONTRATISTA PARA REALIZAR LA DOTACION DE DIVISIONES Y MOBILIARIO PARA OFICINA ABIERTA DE LA FACULTAD DE CIENCIAS BASICAS EN EL CAMPUS NUEVA GRANADA</t>
  </si>
  <si>
    <t>SOLINOFF</t>
  </si>
  <si>
    <t>UNION TEMPORAL UMNG 2010</t>
  </si>
  <si>
    <t>UT SERVEX - STIGLITZ</t>
  </si>
  <si>
    <t>CONSORCIO CIENCIAS BASICAS 2010</t>
  </si>
  <si>
    <t>FISCALIA GENERAL DE LA NACION</t>
  </si>
  <si>
    <t>N/A</t>
  </si>
  <si>
    <t>SOLINOFF CORP S.A</t>
  </si>
  <si>
    <t>CONSEJO SUPERIOR DE LA JUDICATURA</t>
  </si>
  <si>
    <t>FAMOC DEPANEL S.A</t>
  </si>
  <si>
    <t>DS CONSTRUCCIONES S.A</t>
  </si>
  <si>
    <t>FAMOC DE PANEL</t>
  </si>
  <si>
    <t>FAMOC DE PANEL S.A</t>
  </si>
  <si>
    <t>EMPRESAS MUNICIPALES DE CALI EMCALI E.I.C.E.E.S.P</t>
  </si>
  <si>
    <t>SECRETARIA DISTRITAL DE PLANEACION</t>
  </si>
  <si>
    <t>UNION TEMPORAL PLANEACION 2005</t>
  </si>
  <si>
    <t>FAMOC DE PANEL S.A y SERTICOL S.A</t>
  </si>
  <si>
    <t>SMMLV 2010</t>
  </si>
  <si>
    <t>MAYOR A 975,5
SMMLV</t>
  </si>
  <si>
    <t>UNION TEMPORAL SERVEX-STIGLITZ</t>
  </si>
  <si>
    <t>DOTACIÓN DE DIVISIONES Y MOBILIARIO PARA OFICINA ABIERTA</t>
  </si>
  <si>
    <t>K CONTRATACION &gt; 1.951 SMMLV</t>
  </si>
  <si>
    <t>CAPACIDAD TOTAL DE CONTRATACIÓN COMO PROVEEDOR ES MAYOR A TRES VECES EL PRESUPUESTO OFICIAL EN SMMLV</t>
  </si>
  <si>
    <t>CAPACIDAD RESIDUAL DE CONTRATACIÓN COMO PROVEEDOR ES MAYOR A DOS VECES EL PRESUPUESTO OFICIAL EN SMMLV</t>
  </si>
  <si>
    <t xml:space="preserve">DS CONSTRUCCIONES S.A </t>
  </si>
  <si>
    <t>LA COMERCIALIZACION, LA PRODUCCION , LA INSTALCION, LA REUBICACION Y EL SERVICIO DE POSTVENTA DE SOLUCIONES DE AMOBLAMIENTO PARA OFICINA ABIERTA (SISTEMAS DE OFICINA, SISTEMAS DE ARCHIVO Y/O ALMACENAMIENTO TECNICO, SILLAS), LINEA ESCOLAR Y MUEBLES EN GENERAL</t>
  </si>
  <si>
    <t>21-09-2007 HASTA 20-09-2010</t>
  </si>
  <si>
    <t xml:space="preserve">CUMPLE </t>
  </si>
  <si>
    <t>MODERLINE S.A</t>
  </si>
  <si>
    <t>MUEBLES KAFFEL Ltda.</t>
  </si>
  <si>
    <t>UNION TEMPORAL  SERVEX-STIGLITZ</t>
  </si>
  <si>
    <t>MUEBLES KAFFEL LTDA.</t>
  </si>
  <si>
    <t>UNION TEMPORAL DIAN 2010</t>
  </si>
  <si>
    <t>SUPERINTENDENCIA DE NOTARIADO Y REGISTRO</t>
  </si>
  <si>
    <t>MODERLINE S.A y AMPLEX DE COLOMBIA S.A</t>
  </si>
  <si>
    <t>DEPARTAMENTO ADMINISTRATIVO DE SEGURIDAD DAS</t>
  </si>
  <si>
    <t>AMPLEX DE COLOMBIA S.AMODERLINE S.A</t>
  </si>
  <si>
    <t>CONSORCIO SUPERNOTARIADO Y REGISTRO 008</t>
  </si>
  <si>
    <t>CONSORCIO DAS 21</t>
  </si>
  <si>
    <t>ICONTEC</t>
  </si>
  <si>
    <t>DISEÑO, PRODUCCION, COMERCIALIZACION, INSTALACION Y MANTENIMIENTO DEL SISTEMA DE OFICINA ABIERTA PARA LA ADECUACION DE ESPACIOS DE TRABAJO.</t>
  </si>
  <si>
    <t>20-08-2008 HASTA 19-06-2011</t>
  </si>
  <si>
    <t>SERVEX INTERNATIONAL S.A</t>
  </si>
  <si>
    <t>GRUPO STGLITZ</t>
  </si>
  <si>
    <t>SERVEX INTERNATIONAL S.A.</t>
  </si>
  <si>
    <t>DISEÑO, DESARROLLO, PRODUCCION Y COMERCIALIZACION DE MOBILIARIO DE OFICINA ABIERTA, RECONFIGURACION DE ESPACIOS DE TRABAJO Y PRESTACION DE SERVICIOS ASOCIADOS</t>
  </si>
  <si>
    <t>10/10/2009 HASTA 09-09-2011</t>
  </si>
  <si>
    <t>POLICIA NACIONAL DIRECCION DE INTELIGENCIA</t>
  </si>
  <si>
    <t>EPM TLECOMUNICACIONES</t>
  </si>
  <si>
    <t>MAPRE SEGUROS GENERALES</t>
  </si>
  <si>
    <t>SOLINOFF CORPORATION S.A SOLINOFF CORP S.A</t>
  </si>
  <si>
    <t>BUREAU VERITAS</t>
  </si>
  <si>
    <t>DISEÑO, DESARROLLO, MANUFACTURA, COMERCIALIZACION, INSTALACION Y SERVICIO POST-VENTA EN AMUEBLAMIENTO  DE OFICINAS  Y ALMACENAMIENTO TECNICO</t>
  </si>
  <si>
    <t>10/11/2009 HASTA 09-11-09</t>
  </si>
  <si>
    <t>GRUPO STIGLITZ</t>
  </si>
  <si>
    <t>MODERLINE</t>
  </si>
  <si>
    <t>MUEBLES KAFFEL LTDA</t>
  </si>
  <si>
    <t xml:space="preserve">Director  INSEDI </t>
  </si>
  <si>
    <t>Arquitecto UMNG</t>
  </si>
  <si>
    <t>Salud Ocupacional y Gestiòn Ambiental</t>
  </si>
  <si>
    <t>EL COMITÉ TÉCNICO:</t>
  </si>
  <si>
    <t>Co. JORGE E. NEIRA VELOSA</t>
  </si>
  <si>
    <t>Arq. MANUEL DIAZ  RUEDA</t>
  </si>
  <si>
    <t>Lic. LUZ DARY AVILA CHACON</t>
  </si>
  <si>
    <r>
      <rPr>
        <b/>
        <sz val="11"/>
        <color indexed="8"/>
        <rFont val="Calibri"/>
        <family val="2"/>
      </rPr>
      <t xml:space="preserve">NOTA 1: </t>
    </r>
    <r>
      <rPr>
        <sz val="11"/>
        <color theme="1"/>
        <rFont val="Calibri"/>
        <family val="2"/>
      </rPr>
      <t>EL PROPONENTE UT SERVEX - STIGLITZ. NO CUMPLE EL ITEM 4.3.2 DEL PLIEGO DE CONDICIONES YA QUE UNO DE LOS INTEGRANTES DE LA UNION TEMPORAL NO CUMPLE CON LA CAPACIDAD DE CONTRATACION RESIDUAL MINIMA EXIGIDA.</t>
    </r>
  </si>
  <si>
    <t>CALIFICACION MUESTRA FISICA</t>
  </si>
  <si>
    <t>LIC. LUZ DARY AVILA CHACON</t>
  </si>
  <si>
    <t>ARQ. MANUEL DIAZ RUEDA</t>
  </si>
  <si>
    <t>Director INSEDI</t>
  </si>
  <si>
    <t>Salud Ocupacional y Gestión Ambiental</t>
  </si>
  <si>
    <t>Arquitecto División de Servicios Generales</t>
  </si>
  <si>
    <t>-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</si>
</sst>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_);_(* \(#,##0\);_(* &quot;-&quot;??_);_(@_)"/>
    <numFmt numFmtId="181" formatCode="#,##0.00;[Red]#,##0.00"/>
    <numFmt numFmtId="182" formatCode="0.0000%"/>
    <numFmt numFmtId="183" formatCode="[$-40A]dddd\,\ dd&quot; de &quot;mmmm&quot; de &quot;yyyy"/>
    <numFmt numFmtId="184" formatCode="_(* #,##0.0_);_(* \(#,##0.0\);_(* &quot;-&quot;??_);_(@_)"/>
    <numFmt numFmtId="185" formatCode="0.000%"/>
    <numFmt numFmtId="186" formatCode="0.00000%"/>
    <numFmt numFmtId="187" formatCode="0.000000%"/>
    <numFmt numFmtId="188" formatCode="0.0000000%"/>
    <numFmt numFmtId="189" formatCode="0.00000000%"/>
    <numFmt numFmtId="190" formatCode="0.000000000%"/>
    <numFmt numFmtId="191" formatCode="_(* #,##0.000_);_(* \(#,##0.000\);_(* &quot;-&quot;??_);_(@_)"/>
    <numFmt numFmtId="192" formatCode="#,##0.0"/>
    <numFmt numFmtId="193" formatCode="0.0%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mmm\-yyyy"/>
    <numFmt numFmtId="199" formatCode="[$-240A]dddd\,\ d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6" fillId="0" borderId="0">
      <alignment horizontal="center"/>
      <protection/>
    </xf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>
      <alignment/>
      <protection/>
    </xf>
    <xf numFmtId="178" fontId="6" fillId="0" borderId="0" applyFon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6" fillId="0" borderId="0" applyBorder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80" fontId="1" fillId="0" borderId="0" xfId="49" applyNumberFormat="1" applyFont="1" applyAlignment="1">
      <alignment vertical="center" wrapText="1"/>
    </xf>
    <xf numFmtId="43" fontId="1" fillId="0" borderId="0" xfId="49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49" fontId="7" fillId="0" borderId="0" xfId="60" applyNumberFormat="1" applyFont="1" applyFill="1" applyAlignment="1">
      <alignment horizontal="left" vertical="center"/>
      <protection/>
    </xf>
    <xf numFmtId="0" fontId="6" fillId="0" borderId="0" xfId="60" applyFont="1" applyFill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43" fontId="1" fillId="0" borderId="0" xfId="49" applyFont="1" applyAlignment="1">
      <alignment horizontal="center" vertical="center"/>
    </xf>
    <xf numFmtId="180" fontId="1" fillId="0" borderId="0" xfId="49" applyNumberFormat="1" applyFont="1" applyAlignment="1">
      <alignment horizontal="center" vertical="center"/>
    </xf>
    <xf numFmtId="49" fontId="6" fillId="0" borderId="0" xfId="60" applyNumberFormat="1" applyFont="1" applyFill="1" applyAlignment="1">
      <alignment horizontal="center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2" fillId="0" borderId="0" xfId="0" applyFont="1" applyAlignment="1">
      <alignment horizontal="center"/>
    </xf>
    <xf numFmtId="43" fontId="0" fillId="0" borderId="0" xfId="0" applyNumberFormat="1" applyAlignment="1">
      <alignment/>
    </xf>
    <xf numFmtId="43" fontId="1" fillId="0" borderId="0" xfId="49" applyFont="1" applyAlignment="1">
      <alignment vertical="center" wrapText="1"/>
    </xf>
    <xf numFmtId="43" fontId="2" fillId="0" borderId="0" xfId="49" applyFont="1" applyAlignment="1">
      <alignment horizontal="center" vertical="center" wrapText="1"/>
    </xf>
    <xf numFmtId="43" fontId="1" fillId="0" borderId="0" xfId="49" applyFont="1" applyAlignment="1">
      <alignment horizontal="center" vertical="center"/>
    </xf>
    <xf numFmtId="10" fontId="1" fillId="0" borderId="0" xfId="63" applyNumberFormat="1" applyFont="1" applyAlignment="1">
      <alignment vertical="center" wrapText="1"/>
    </xf>
    <xf numFmtId="10" fontId="1" fillId="0" borderId="0" xfId="63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0" fontId="2" fillId="0" borderId="0" xfId="63" applyNumberFormat="1" applyFont="1" applyBorder="1" applyAlignment="1">
      <alignment horizontal="center" vertical="center"/>
    </xf>
    <xf numFmtId="43" fontId="1" fillId="0" borderId="0" xfId="49" applyFont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/>
    </xf>
    <xf numFmtId="43" fontId="1" fillId="0" borderId="0" xfId="49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80" fontId="1" fillId="0" borderId="0" xfId="49" applyNumberFormat="1" applyFont="1" applyBorder="1" applyAlignment="1">
      <alignment vertical="center" wrapText="1"/>
    </xf>
    <xf numFmtId="43" fontId="1" fillId="0" borderId="0" xfId="49" applyFont="1" applyBorder="1" applyAlignment="1">
      <alignment vertical="center" wrapText="1"/>
    </xf>
    <xf numFmtId="43" fontId="1" fillId="0" borderId="18" xfId="49" applyFont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44" fontId="1" fillId="35" borderId="0" xfId="54" applyFont="1" applyFill="1" applyAlignment="1">
      <alignment/>
    </xf>
    <xf numFmtId="43" fontId="1" fillId="35" borderId="0" xfId="49" applyFont="1" applyFill="1" applyAlignment="1">
      <alignment/>
    </xf>
    <xf numFmtId="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3" fontId="1" fillId="0" borderId="0" xfId="49" applyFont="1" applyFill="1" applyAlignment="1">
      <alignment vertical="center" wrapText="1"/>
    </xf>
    <xf numFmtId="43" fontId="1" fillId="0" borderId="0" xfId="49" applyFont="1" applyFill="1" applyAlignment="1">
      <alignment vertical="center" wrapText="1"/>
    </xf>
    <xf numFmtId="10" fontId="0" fillId="0" borderId="0" xfId="0" applyNumberFormat="1" applyFill="1" applyBorder="1" applyAlignment="1">
      <alignment vertical="center" wrapText="1"/>
    </xf>
    <xf numFmtId="43" fontId="1" fillId="0" borderId="0" xfId="49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0" fillId="33" borderId="22" xfId="0" applyFill="1" applyBorder="1" applyAlignment="1">
      <alignment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44" fontId="1" fillId="0" borderId="0" xfId="54" applyFont="1" applyFill="1" applyAlignment="1">
      <alignment/>
    </xf>
    <xf numFmtId="0" fontId="0" fillId="0" borderId="24" xfId="0" applyFill="1" applyBorder="1" applyAlignment="1">
      <alignment/>
    </xf>
    <xf numFmtId="43" fontId="1" fillId="0" borderId="0" xfId="49" applyFont="1" applyAlignment="1">
      <alignment/>
    </xf>
    <xf numFmtId="0" fontId="0" fillId="36" borderId="0" xfId="0" applyFont="1" applyFill="1" applyAlignment="1">
      <alignment vertical="center" wrapText="1"/>
    </xf>
    <xf numFmtId="0" fontId="0" fillId="37" borderId="0" xfId="0" applyFill="1" applyAlignment="1">
      <alignment/>
    </xf>
    <xf numFmtId="0" fontId="11" fillId="0" borderId="0" xfId="0" applyFont="1" applyAlignment="1">
      <alignment horizontal="center" vertical="center"/>
    </xf>
    <xf numFmtId="43" fontId="11" fillId="0" borderId="0" xfId="49" applyFont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43" fontId="0" fillId="0" borderId="24" xfId="0" applyNumberFormat="1" applyFill="1" applyBorder="1" applyAlignment="1">
      <alignment horizontal="right" vertical="center"/>
    </xf>
    <xf numFmtId="43" fontId="0" fillId="0" borderId="24" xfId="0" applyNumberFormat="1" applyFill="1" applyBorder="1" applyAlignment="1">
      <alignment horizontal="center" vertical="center"/>
    </xf>
    <xf numFmtId="180" fontId="1" fillId="0" borderId="24" xfId="49" applyNumberFormat="1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43" fontId="0" fillId="0" borderId="13" xfId="0" applyNumberFormat="1" applyBorder="1" applyAlignment="1">
      <alignment horizontal="center" vertical="center"/>
    </xf>
    <xf numFmtId="43" fontId="1" fillId="0" borderId="13" xfId="49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horizontal="center" vertical="center"/>
    </xf>
    <xf numFmtId="43" fontId="0" fillId="0" borderId="26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 wrapText="1"/>
    </xf>
    <xf numFmtId="43" fontId="2" fillId="34" borderId="30" xfId="49" applyFont="1" applyFill="1" applyBorder="1" applyAlignment="1">
      <alignment horizontal="center" vertical="center" wrapText="1"/>
    </xf>
    <xf numFmtId="43" fontId="2" fillId="34" borderId="31" xfId="49" applyFont="1" applyFill="1" applyBorder="1" applyAlignment="1">
      <alignment horizontal="center" vertical="center" wrapText="1"/>
    </xf>
    <xf numFmtId="180" fontId="2" fillId="34" borderId="31" xfId="49" applyNumberFormat="1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180" fontId="12" fillId="33" borderId="10" xfId="49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3" fontId="12" fillId="33" borderId="10" xfId="49" applyFont="1" applyFill="1" applyBorder="1" applyAlignment="1">
      <alignment horizontal="center" vertical="center" wrapText="1"/>
    </xf>
    <xf numFmtId="43" fontId="9" fillId="0" borderId="26" xfId="49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36" borderId="0" xfId="0" applyFill="1" applyAlignment="1">
      <alignment/>
    </xf>
    <xf numFmtId="43" fontId="12" fillId="36" borderId="33" xfId="61" applyNumberFormat="1" applyFont="1" applyFill="1" applyBorder="1" applyAlignment="1">
      <alignment horizontal="center" vertical="center"/>
      <protection/>
    </xf>
    <xf numFmtId="43" fontId="12" fillId="0" borderId="34" xfId="61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0" fillId="0" borderId="36" xfId="0" applyFill="1" applyBorder="1" applyAlignment="1">
      <alignment horizontal="left" vertical="center" wrapText="1"/>
    </xf>
    <xf numFmtId="10" fontId="0" fillId="0" borderId="37" xfId="0" applyNumberFormat="1" applyFill="1" applyBorder="1" applyAlignment="1">
      <alignment vertical="center" wrapText="1"/>
    </xf>
    <xf numFmtId="0" fontId="0" fillId="33" borderId="38" xfId="0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43" fontId="12" fillId="36" borderId="40" xfId="61" applyNumberFormat="1" applyFont="1" applyFill="1" applyBorder="1" applyAlignment="1">
      <alignment horizontal="center" vertical="center"/>
      <protection/>
    </xf>
    <xf numFmtId="43" fontId="12" fillId="0" borderId="41" xfId="61" applyNumberFormat="1" applyFont="1" applyFill="1" applyBorder="1" applyAlignment="1">
      <alignment horizontal="center" vertical="center"/>
      <protection/>
    </xf>
    <xf numFmtId="43" fontId="2" fillId="0" borderId="27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43" fontId="1" fillId="0" borderId="24" xfId="49" applyFont="1" applyFill="1" applyBorder="1" applyAlignment="1">
      <alignment horizontal="center" vertical="center"/>
    </xf>
    <xf numFmtId="10" fontId="1" fillId="0" borderId="24" xfId="63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43" fontId="1" fillId="0" borderId="0" xfId="49" applyFont="1" applyAlignment="1">
      <alignment horizontal="center" vertical="center"/>
    </xf>
    <xf numFmtId="43" fontId="1" fillId="0" borderId="0" xfId="49" applyFont="1" applyAlignment="1">
      <alignment vertical="center" wrapText="1"/>
    </xf>
    <xf numFmtId="43" fontId="2" fillId="0" borderId="42" xfId="49" applyFont="1" applyBorder="1" applyAlignment="1">
      <alignment horizontal="center" vertical="center" wrapText="1"/>
    </xf>
    <xf numFmtId="43" fontId="2" fillId="0" borderId="43" xfId="49" applyFont="1" applyBorder="1" applyAlignment="1">
      <alignment horizontal="center" vertical="center" wrapText="1"/>
    </xf>
    <xf numFmtId="43" fontId="2" fillId="0" borderId="44" xfId="49" applyFont="1" applyBorder="1" applyAlignment="1">
      <alignment horizontal="center" vertical="center" wrapText="1"/>
    </xf>
    <xf numFmtId="43" fontId="14" fillId="0" borderId="0" xfId="49" applyFont="1" applyBorder="1" applyAlignment="1">
      <alignment vertical="center" wrapText="1"/>
    </xf>
    <xf numFmtId="43" fontId="14" fillId="0" borderId="18" xfId="49" applyFont="1" applyBorder="1" applyAlignment="1">
      <alignment vertical="center" wrapText="1"/>
    </xf>
    <xf numFmtId="180" fontId="9" fillId="0" borderId="45" xfId="49" applyNumberFormat="1" applyFont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43" fontId="12" fillId="33" borderId="31" xfId="49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186" fontId="1" fillId="0" borderId="24" xfId="63" applyNumberFormat="1" applyFont="1" applyFill="1" applyBorder="1" applyAlignment="1">
      <alignment horizontal="center" vertical="center"/>
    </xf>
    <xf numFmtId="43" fontId="12" fillId="0" borderId="0" xfId="61" applyNumberFormat="1" applyFont="1" applyFill="1" applyBorder="1" applyAlignment="1">
      <alignment horizontal="center" vertical="center"/>
      <protection/>
    </xf>
    <xf numFmtId="0" fontId="9" fillId="0" borderId="2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43" fontId="9" fillId="0" borderId="46" xfId="49" applyFont="1" applyBorder="1" applyAlignment="1">
      <alignment horizontal="center" vertical="center" wrapText="1"/>
    </xf>
    <xf numFmtId="43" fontId="9" fillId="0" borderId="24" xfId="49" applyFont="1" applyBorder="1" applyAlignment="1">
      <alignment horizontal="center" vertical="center" wrapText="1"/>
    </xf>
    <xf numFmtId="43" fontId="9" fillId="0" borderId="27" xfId="49" applyFont="1" applyFill="1" applyBorder="1" applyAlignment="1">
      <alignment horizontal="center" vertical="center" wrapText="1"/>
    </xf>
    <xf numFmtId="43" fontId="9" fillId="0" borderId="47" xfId="49" applyFont="1" applyFill="1" applyBorder="1" applyAlignment="1">
      <alignment horizontal="center" vertical="center" wrapText="1"/>
    </xf>
    <xf numFmtId="180" fontId="9" fillId="0" borderId="26" xfId="49" applyNumberFormat="1" applyFont="1" applyBorder="1" applyAlignment="1">
      <alignment horizontal="center" vertical="center" wrapText="1"/>
    </xf>
    <xf numFmtId="180" fontId="9" fillId="0" borderId="46" xfId="49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9" fontId="0" fillId="0" borderId="26" xfId="0" applyNumberFormat="1" applyBorder="1" applyAlignment="1">
      <alignment horizontal="center" vertical="center" wrapText="1"/>
    </xf>
    <xf numFmtId="9" fontId="0" fillId="0" borderId="4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9" fontId="0" fillId="0" borderId="24" xfId="0" applyNumberForma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80" fontId="9" fillId="0" borderId="24" xfId="49" applyNumberFormat="1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3" fontId="9" fillId="0" borderId="28" xfId="49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0" fillId="0" borderId="18" xfId="0" applyBorder="1" applyAlignment="1">
      <alignment vertical="center" wrapText="1"/>
    </xf>
    <xf numFmtId="43" fontId="9" fillId="0" borderId="48" xfId="49" applyFont="1" applyBorder="1" applyAlignment="1">
      <alignment horizontal="center" vertical="center" wrapText="1"/>
    </xf>
    <xf numFmtId="43" fontId="9" fillId="0" borderId="49" xfId="49" applyFont="1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0" fillId="0" borderId="51" xfId="0" applyBorder="1" applyAlignment="1">
      <alignment horizontal="center" vertical="center" wrapText="1"/>
    </xf>
    <xf numFmtId="10" fontId="0" fillId="0" borderId="51" xfId="0" applyNumberFormat="1" applyFill="1" applyBorder="1" applyAlignment="1">
      <alignment vertical="center" wrapText="1"/>
    </xf>
    <xf numFmtId="9" fontId="0" fillId="0" borderId="51" xfId="0" applyNumberFormat="1" applyBorder="1" applyAlignment="1">
      <alignment horizontal="center" vertical="center" wrapText="1"/>
    </xf>
    <xf numFmtId="15" fontId="0" fillId="0" borderId="51" xfId="0" applyNumberFormat="1" applyFill="1" applyBorder="1" applyAlignment="1">
      <alignment vertical="center" wrapText="1"/>
    </xf>
    <xf numFmtId="180" fontId="9" fillId="0" borderId="51" xfId="49" applyNumberFormat="1" applyFont="1" applyBorder="1" applyAlignment="1">
      <alignment horizontal="center" vertical="center" wrapText="1"/>
    </xf>
    <xf numFmtId="43" fontId="9" fillId="0" borderId="51" xfId="49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43" fontId="9" fillId="0" borderId="19" xfId="49" applyFont="1" applyFill="1" applyBorder="1" applyAlignment="1">
      <alignment horizontal="center" vertical="center" wrapText="1"/>
    </xf>
    <xf numFmtId="180" fontId="0" fillId="0" borderId="0" xfId="0" applyNumberFormat="1" applyAlignment="1">
      <alignment vertical="center" wrapText="1"/>
    </xf>
    <xf numFmtId="0" fontId="0" fillId="0" borderId="51" xfId="0" applyFill="1" applyBorder="1" applyAlignment="1">
      <alignment vertical="center" wrapText="1"/>
    </xf>
    <xf numFmtId="10" fontId="0" fillId="0" borderId="51" xfId="0" applyNumberFormat="1" applyBorder="1" applyAlignment="1">
      <alignment horizontal="center" vertical="center" wrapText="1"/>
    </xf>
    <xf numFmtId="4" fontId="9" fillId="0" borderId="51" xfId="49" applyNumberFormat="1" applyFont="1" applyBorder="1" applyAlignment="1">
      <alignment horizontal="right" vertical="center" wrapText="1"/>
    </xf>
    <xf numFmtId="44" fontId="1" fillId="35" borderId="0" xfId="54" applyFont="1" applyFill="1" applyAlignment="1">
      <alignment/>
    </xf>
    <xf numFmtId="9" fontId="0" fillId="0" borderId="24" xfId="0" applyNumberForma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15" fontId="0" fillId="0" borderId="24" xfId="0" applyNumberFormat="1" applyFill="1" applyBorder="1" applyAlignment="1">
      <alignment vertical="center" wrapText="1"/>
    </xf>
    <xf numFmtId="9" fontId="0" fillId="0" borderId="51" xfId="0" applyNumberFormat="1" applyFill="1" applyBorder="1" applyAlignment="1">
      <alignment vertical="center" wrapText="1"/>
    </xf>
    <xf numFmtId="15" fontId="0" fillId="0" borderId="51" xfId="0" applyNumberFormat="1" applyFill="1" applyBorder="1" applyAlignment="1">
      <alignment horizontal="center" vertical="center" wrapText="1"/>
    </xf>
    <xf numFmtId="180" fontId="9" fillId="0" borderId="51" xfId="49" applyNumberFormat="1" applyFont="1" applyBorder="1" applyAlignment="1">
      <alignment horizontal="right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17" fontId="0" fillId="0" borderId="26" xfId="0" applyNumberFormat="1" applyFill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6" xfId="0" applyFill="1" applyBorder="1" applyAlignment="1">
      <alignment horizontal="center" vertical="center" wrapText="1"/>
    </xf>
    <xf numFmtId="15" fontId="0" fillId="0" borderId="46" xfId="0" applyNumberFormat="1" applyFill="1" applyBorder="1" applyAlignment="1">
      <alignment vertical="center" wrapText="1"/>
    </xf>
    <xf numFmtId="4" fontId="9" fillId="0" borderId="46" xfId="49" applyNumberFormat="1" applyFont="1" applyBorder="1" applyAlignment="1">
      <alignment horizontal="right" vertical="center" wrapText="1"/>
    </xf>
    <xf numFmtId="9" fontId="0" fillId="0" borderId="26" xfId="0" applyNumberFormat="1" applyFill="1" applyBorder="1" applyAlignment="1">
      <alignment vertical="center" wrapText="1"/>
    </xf>
    <xf numFmtId="9" fontId="0" fillId="0" borderId="46" xfId="0" applyNumberFormat="1" applyFill="1" applyBorder="1" applyAlignment="1">
      <alignment vertical="center" wrapText="1"/>
    </xf>
    <xf numFmtId="9" fontId="1" fillId="0" borderId="0" xfId="49" applyNumberFormat="1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9" fontId="1" fillId="0" borderId="0" xfId="49" applyNumberFormat="1" applyFont="1" applyAlignment="1">
      <alignment horizontal="center" vertical="center"/>
    </xf>
    <xf numFmtId="43" fontId="1" fillId="0" borderId="0" xfId="49" applyFont="1" applyBorder="1" applyAlignment="1">
      <alignment vertical="center" wrapText="1"/>
    </xf>
    <xf numFmtId="0" fontId="0" fillId="0" borderId="5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80" fontId="13" fillId="0" borderId="0" xfId="0" applyNumberFormat="1" applyFont="1" applyFill="1" applyBorder="1" applyAlignment="1">
      <alignment vertical="center" wrapText="1"/>
    </xf>
    <xf numFmtId="43" fontId="1" fillId="0" borderId="0" xfId="49" applyFont="1" applyBorder="1" applyAlignment="1">
      <alignment vertical="center" wrapText="1"/>
    </xf>
    <xf numFmtId="180" fontId="0" fillId="0" borderId="26" xfId="0" applyNumberFormat="1" applyFill="1" applyBorder="1" applyAlignment="1">
      <alignment horizontal="center" vertical="top"/>
    </xf>
    <xf numFmtId="43" fontId="0" fillId="0" borderId="26" xfId="0" applyNumberFormat="1" applyFill="1" applyBorder="1" applyAlignment="1">
      <alignment horizontal="center" vertical="center"/>
    </xf>
    <xf numFmtId="180" fontId="1" fillId="0" borderId="26" xfId="49" applyNumberFormat="1" applyFont="1" applyFill="1" applyBorder="1" applyAlignment="1">
      <alignment horizontal="left" vertical="center"/>
    </xf>
    <xf numFmtId="180" fontId="1" fillId="0" borderId="24" xfId="49" applyNumberFormat="1" applyFont="1" applyFill="1" applyBorder="1" applyAlignment="1">
      <alignment horizontal="left" vertical="center"/>
    </xf>
    <xf numFmtId="0" fontId="0" fillId="38" borderId="16" xfId="0" applyFill="1" applyBorder="1" applyAlignment="1">
      <alignment horizontal="center" vertical="center"/>
    </xf>
    <xf numFmtId="0" fontId="0" fillId="38" borderId="24" xfId="0" applyFill="1" applyBorder="1" applyAlignment="1">
      <alignment/>
    </xf>
    <xf numFmtId="0" fontId="0" fillId="38" borderId="24" xfId="0" applyFill="1" applyBorder="1" applyAlignment="1">
      <alignment horizontal="center" vertical="center"/>
    </xf>
    <xf numFmtId="43" fontId="0" fillId="38" borderId="24" xfId="0" applyNumberFormat="1" applyFill="1" applyBorder="1" applyAlignment="1">
      <alignment horizontal="center" vertical="center"/>
    </xf>
    <xf numFmtId="180" fontId="1" fillId="38" borderId="24" xfId="49" applyNumberFormat="1" applyFont="1" applyFill="1" applyBorder="1" applyAlignment="1">
      <alignment horizontal="center" vertical="center"/>
    </xf>
    <xf numFmtId="180" fontId="1" fillId="38" borderId="24" xfId="49" applyNumberFormat="1" applyFont="1" applyFill="1" applyBorder="1" applyAlignment="1">
      <alignment horizontal="left" vertical="center"/>
    </xf>
    <xf numFmtId="0" fontId="0" fillId="38" borderId="28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38" borderId="26" xfId="0" applyFill="1" applyBorder="1" applyAlignment="1">
      <alignment/>
    </xf>
    <xf numFmtId="43" fontId="1" fillId="38" borderId="26" xfId="49" applyFont="1" applyFill="1" applyBorder="1" applyAlignment="1">
      <alignment horizontal="center" vertical="center"/>
    </xf>
    <xf numFmtId="186" fontId="1" fillId="38" borderId="26" xfId="63" applyNumberFormat="1" applyFont="1" applyFill="1" applyBorder="1" applyAlignment="1">
      <alignment horizontal="center" vertical="center"/>
    </xf>
    <xf numFmtId="10" fontId="1" fillId="38" borderId="26" xfId="63" applyNumberFormat="1" applyFont="1" applyFill="1" applyBorder="1" applyAlignment="1">
      <alignment horizontal="center" vertical="center"/>
    </xf>
    <xf numFmtId="43" fontId="2" fillId="38" borderId="27" xfId="0" applyNumberFormat="1" applyFont="1" applyFill="1" applyBorder="1" applyAlignment="1">
      <alignment horizontal="right" vertical="center"/>
    </xf>
    <xf numFmtId="43" fontId="1" fillId="38" borderId="24" xfId="49" applyFont="1" applyFill="1" applyBorder="1" applyAlignment="1">
      <alignment horizontal="center" vertical="center"/>
    </xf>
    <xf numFmtId="186" fontId="1" fillId="38" borderId="24" xfId="63" applyNumberFormat="1" applyFont="1" applyFill="1" applyBorder="1" applyAlignment="1">
      <alignment horizontal="center" vertical="center"/>
    </xf>
    <xf numFmtId="10" fontId="1" fillId="38" borderId="24" xfId="63" applyNumberFormat="1" applyFont="1" applyFill="1" applyBorder="1" applyAlignment="1">
      <alignment horizontal="center" vertical="center"/>
    </xf>
    <xf numFmtId="43" fontId="2" fillId="38" borderId="27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1" fillId="38" borderId="42" xfId="0" applyFont="1" applyFill="1" applyBorder="1" applyAlignment="1">
      <alignment horizontal="center" vertical="center"/>
    </xf>
    <xf numFmtId="0" fontId="1" fillId="38" borderId="5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38" borderId="54" xfId="0" applyFont="1" applyFill="1" applyBorder="1" applyAlignment="1">
      <alignment horizontal="center" vertical="center"/>
    </xf>
    <xf numFmtId="0" fontId="1" fillId="38" borderId="55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33" borderId="54" xfId="0" applyFill="1" applyBorder="1" applyAlignment="1">
      <alignment horizontal="left" vertical="center" wrapText="1"/>
    </xf>
    <xf numFmtId="0" fontId="0" fillId="33" borderId="41" xfId="0" applyFill="1" applyBorder="1" applyAlignment="1">
      <alignment horizontal="left" vertical="center" wrapText="1"/>
    </xf>
    <xf numFmtId="43" fontId="1" fillId="33" borderId="41" xfId="49" applyFont="1" applyFill="1" applyBorder="1" applyAlignment="1">
      <alignment horizontal="center" vertical="center" wrapText="1"/>
    </xf>
    <xf numFmtId="43" fontId="3" fillId="0" borderId="24" xfId="49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33" borderId="43" xfId="0" applyFill="1" applyBorder="1" applyAlignment="1">
      <alignment horizontal="left" vertical="center" wrapText="1"/>
    </xf>
    <xf numFmtId="0" fontId="0" fillId="33" borderId="70" xfId="0" applyFill="1" applyBorder="1" applyAlignment="1">
      <alignment horizontal="left" vertical="center" wrapText="1"/>
    </xf>
    <xf numFmtId="43" fontId="1" fillId="33" borderId="70" xfId="49" applyFont="1" applyFill="1" applyBorder="1" applyAlignment="1">
      <alignment horizontal="center" vertical="center" wrapText="1"/>
    </xf>
    <xf numFmtId="43" fontId="3" fillId="0" borderId="46" xfId="49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3" fontId="3" fillId="0" borderId="42" xfId="49" applyFont="1" applyBorder="1" applyAlignment="1">
      <alignment horizontal="center" vertical="center" wrapText="1"/>
    </xf>
    <xf numFmtId="43" fontId="3" fillId="0" borderId="52" xfId="49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3" fontId="2" fillId="0" borderId="43" xfId="49" applyFont="1" applyFill="1" applyBorder="1" applyAlignment="1">
      <alignment horizontal="center" vertical="center" wrapText="1"/>
    </xf>
    <xf numFmtId="43" fontId="2" fillId="0" borderId="70" xfId="49" applyFont="1" applyFill="1" applyBorder="1" applyAlignment="1">
      <alignment horizontal="center" vertical="center" wrapText="1"/>
    </xf>
    <xf numFmtId="43" fontId="2" fillId="0" borderId="44" xfId="49" applyFont="1" applyFill="1" applyBorder="1" applyAlignment="1">
      <alignment horizontal="center" vertical="center" wrapText="1"/>
    </xf>
    <xf numFmtId="0" fontId="0" fillId="33" borderId="68" xfId="0" applyFill="1" applyBorder="1" applyAlignment="1">
      <alignment horizontal="left" vertical="center" wrapText="1"/>
    </xf>
    <xf numFmtId="0" fontId="0" fillId="33" borderId="40" xfId="0" applyFill="1" applyBorder="1" applyAlignment="1">
      <alignment horizontal="left" vertical="center" wrapText="1"/>
    </xf>
    <xf numFmtId="43" fontId="1" fillId="33" borderId="40" xfId="49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43" fontId="2" fillId="0" borderId="25" xfId="49" applyFont="1" applyFill="1" applyBorder="1" applyAlignment="1">
      <alignment horizontal="center" vertical="center" wrapText="1"/>
    </xf>
    <xf numFmtId="43" fontId="2" fillId="0" borderId="27" xfId="49" applyFont="1" applyFill="1" applyBorder="1" applyAlignment="1">
      <alignment horizontal="center" vertical="center" wrapText="1"/>
    </xf>
    <xf numFmtId="43" fontId="2" fillId="0" borderId="72" xfId="49" applyFont="1" applyFill="1" applyBorder="1" applyAlignment="1">
      <alignment horizontal="center" vertical="center" wrapText="1"/>
    </xf>
    <xf numFmtId="43" fontId="2" fillId="0" borderId="73" xfId="49" applyFont="1" applyFill="1" applyBorder="1" applyAlignment="1">
      <alignment horizontal="center" vertical="center" wrapText="1"/>
    </xf>
    <xf numFmtId="181" fontId="2" fillId="0" borderId="74" xfId="49" applyNumberFormat="1" applyFont="1" applyFill="1" applyBorder="1" applyAlignment="1">
      <alignment horizontal="center" vertical="center" wrapText="1"/>
    </xf>
    <xf numFmtId="181" fontId="2" fillId="0" borderId="22" xfId="49" applyNumberFormat="1" applyFont="1" applyFill="1" applyBorder="1" applyAlignment="1">
      <alignment horizontal="center" vertical="center" wrapText="1"/>
    </xf>
    <xf numFmtId="181" fontId="2" fillId="0" borderId="36" xfId="49" applyNumberFormat="1" applyFont="1" applyFill="1" applyBorder="1" applyAlignment="1">
      <alignment horizontal="center" vertical="center" wrapText="1"/>
    </xf>
    <xf numFmtId="181" fontId="2" fillId="0" borderId="0" xfId="49" applyNumberFormat="1" applyFont="1" applyFill="1" applyBorder="1" applyAlignment="1">
      <alignment horizontal="center" vertical="center" wrapText="1"/>
    </xf>
    <xf numFmtId="181" fontId="2" fillId="0" borderId="75" xfId="49" applyNumberFormat="1" applyFont="1" applyFill="1" applyBorder="1" applyAlignment="1">
      <alignment horizontal="center" vertical="center" wrapText="1"/>
    </xf>
    <xf numFmtId="181" fontId="2" fillId="0" borderId="13" xfId="49" applyNumberFormat="1" applyFont="1" applyFill="1" applyBorder="1" applyAlignment="1">
      <alignment horizontal="center" vertical="center" wrapText="1"/>
    </xf>
    <xf numFmtId="181" fontId="2" fillId="0" borderId="76" xfId="49" applyNumberFormat="1" applyFont="1" applyFill="1" applyBorder="1" applyAlignment="1">
      <alignment horizontal="center" vertical="center" wrapText="1"/>
    </xf>
    <xf numFmtId="181" fontId="2" fillId="0" borderId="18" xfId="49" applyNumberFormat="1" applyFont="1" applyFill="1" applyBorder="1" applyAlignment="1">
      <alignment horizontal="center" vertical="center" wrapText="1"/>
    </xf>
    <xf numFmtId="181" fontId="2" fillId="0" borderId="14" xfId="49" applyNumberFormat="1" applyFont="1" applyFill="1" applyBorder="1" applyAlignment="1">
      <alignment horizontal="center" vertical="center" wrapText="1"/>
    </xf>
    <xf numFmtId="43" fontId="2" fillId="0" borderId="17" xfId="49" applyFont="1" applyFill="1" applyBorder="1" applyAlignment="1">
      <alignment horizontal="center" vertical="center" wrapText="1"/>
    </xf>
    <xf numFmtId="43" fontId="2" fillId="0" borderId="47" xfId="49" applyFont="1" applyFill="1" applyBorder="1" applyAlignment="1">
      <alignment horizontal="center" vertical="center" wrapText="1"/>
    </xf>
    <xf numFmtId="43" fontId="2" fillId="0" borderId="58" xfId="49" applyFont="1" applyFill="1" applyBorder="1" applyAlignment="1">
      <alignment horizontal="center" vertical="center" wrapText="1"/>
    </xf>
    <xf numFmtId="0" fontId="14" fillId="0" borderId="59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14" fillId="0" borderId="7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14" fontId="14" fillId="0" borderId="15" xfId="0" applyNumberFormat="1" applyFont="1" applyFill="1" applyBorder="1" applyAlignment="1">
      <alignment horizontal="center" vertical="center" wrapText="1"/>
    </xf>
    <xf numFmtId="14" fontId="14" fillId="0" borderId="44" xfId="0" applyNumberFormat="1" applyFont="1" applyFill="1" applyBorder="1" applyAlignment="1">
      <alignment horizontal="center" vertical="center" wrapText="1"/>
    </xf>
    <xf numFmtId="14" fontId="14" fillId="0" borderId="71" xfId="0" applyNumberFormat="1" applyFont="1" applyFill="1" applyBorder="1" applyAlignment="1">
      <alignment horizontal="center" vertical="center" wrapText="1"/>
    </xf>
    <xf numFmtId="0" fontId="3" fillId="39" borderId="59" xfId="0" applyFont="1" applyFill="1" applyBorder="1" applyAlignment="1">
      <alignment horizontal="center" vertical="center" wrapText="1"/>
    </xf>
    <xf numFmtId="0" fontId="3" fillId="39" borderId="44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43" fontId="13" fillId="40" borderId="74" xfId="0" applyNumberFormat="1" applyFont="1" applyFill="1" applyBorder="1" applyAlignment="1">
      <alignment vertical="center" wrapText="1"/>
    </xf>
    <xf numFmtId="0" fontId="13" fillId="40" borderId="76" xfId="0" applyFont="1" applyFill="1" applyBorder="1" applyAlignment="1">
      <alignment vertical="center" wrapText="1"/>
    </xf>
    <xf numFmtId="0" fontId="13" fillId="40" borderId="75" xfId="0" applyFont="1" applyFill="1" applyBorder="1" applyAlignment="1">
      <alignment vertical="center" wrapText="1"/>
    </xf>
    <xf numFmtId="0" fontId="13" fillId="40" borderId="14" xfId="0" applyFont="1" applyFill="1" applyBorder="1" applyAlignment="1">
      <alignment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76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33" borderId="78" xfId="0" applyFont="1" applyFill="1" applyBorder="1" applyAlignment="1">
      <alignment horizontal="center" vertical="center" wrapText="1"/>
    </xf>
    <xf numFmtId="0" fontId="12" fillId="33" borderId="79" xfId="0" applyFont="1" applyFill="1" applyBorder="1" applyAlignment="1">
      <alignment horizontal="center" vertical="center" wrapText="1"/>
    </xf>
    <xf numFmtId="43" fontId="12" fillId="33" borderId="80" xfId="49" applyFont="1" applyFill="1" applyBorder="1" applyAlignment="1">
      <alignment horizontal="center" vertical="center" wrapText="1"/>
    </xf>
    <xf numFmtId="43" fontId="12" fillId="33" borderId="81" xfId="49" applyFont="1" applyFill="1" applyBorder="1" applyAlignment="1">
      <alignment horizontal="center" vertical="center" wrapText="1"/>
    </xf>
    <xf numFmtId="43" fontId="9" fillId="0" borderId="24" xfId="49" applyFont="1" applyBorder="1" applyAlignment="1">
      <alignment horizontal="center" vertical="center" wrapText="1"/>
    </xf>
    <xf numFmtId="43" fontId="9" fillId="0" borderId="80" xfId="49" applyFont="1" applyBorder="1" applyAlignment="1">
      <alignment horizontal="center" vertical="center" wrapText="1"/>
    </xf>
    <xf numFmtId="43" fontId="9" fillId="0" borderId="28" xfId="49" applyFont="1" applyBorder="1" applyAlignment="1">
      <alignment horizontal="left" vertical="center" wrapText="1"/>
    </xf>
    <xf numFmtId="43" fontId="9" fillId="0" borderId="82" xfId="49" applyFont="1" applyBorder="1" applyAlignment="1">
      <alignment horizontal="left" vertical="center" wrapText="1"/>
    </xf>
    <xf numFmtId="9" fontId="0" fillId="0" borderId="59" xfId="0" applyNumberFormat="1" applyBorder="1" applyAlignment="1">
      <alignment horizontal="center" vertical="center" wrapText="1"/>
    </xf>
    <xf numFmtId="9" fontId="0" fillId="0" borderId="37" xfId="0" applyNumberFormat="1" applyBorder="1" applyAlignment="1">
      <alignment horizontal="center" vertical="center" wrapText="1"/>
    </xf>
    <xf numFmtId="0" fontId="2" fillId="33" borderId="83" xfId="0" applyFont="1" applyFill="1" applyBorder="1" applyAlignment="1">
      <alignment horizontal="center" vertical="center" wrapText="1"/>
    </xf>
    <xf numFmtId="0" fontId="2" fillId="33" borderId="84" xfId="0" applyFont="1" applyFill="1" applyBorder="1" applyAlignment="1">
      <alignment horizontal="center" vertical="center" wrapText="1"/>
    </xf>
    <xf numFmtId="0" fontId="2" fillId="33" borderId="8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61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/>
    </xf>
    <xf numFmtId="0" fontId="2" fillId="33" borderId="77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86" xfId="0" applyFont="1" applyFill="1" applyBorder="1" applyAlignment="1">
      <alignment horizontal="left" vertical="center"/>
    </xf>
    <xf numFmtId="0" fontId="0" fillId="0" borderId="42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14" fontId="14" fillId="0" borderId="51" xfId="0" applyNumberFormat="1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80" fontId="13" fillId="40" borderId="74" xfId="0" applyNumberFormat="1" applyFont="1" applyFill="1" applyBorder="1" applyAlignment="1">
      <alignment vertical="center" wrapText="1"/>
    </xf>
    <xf numFmtId="180" fontId="13" fillId="40" borderId="76" xfId="0" applyNumberFormat="1" applyFont="1" applyFill="1" applyBorder="1" applyAlignment="1">
      <alignment vertical="center" wrapText="1"/>
    </xf>
    <xf numFmtId="180" fontId="13" fillId="40" borderId="75" xfId="0" applyNumberFormat="1" applyFont="1" applyFill="1" applyBorder="1" applyAlignment="1">
      <alignment vertical="center" wrapText="1"/>
    </xf>
    <xf numFmtId="180" fontId="13" fillId="40" borderId="14" xfId="0" applyNumberFormat="1" applyFont="1" applyFill="1" applyBorder="1" applyAlignment="1">
      <alignment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ADRO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_x0014_res" xfId="53"/>
    <cellStyle name="Currency" xfId="54"/>
    <cellStyle name="Currency [0]" xfId="55"/>
    <cellStyle name="Moneda 2" xfId="56"/>
    <cellStyle name="Neutral" xfId="57"/>
    <cellStyle name="Normal 2" xfId="58"/>
    <cellStyle name="Normal 3" xfId="59"/>
    <cellStyle name="Normal 4" xfId="60"/>
    <cellStyle name="Normal_2009-04-30 Evaluacion Tecnica Definitiva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85\compartida\Cofinanciacion\FICHAS%20Y%20FORMATOS\UNITARIOS%20GENER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AS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V29"/>
  <sheetViews>
    <sheetView tabSelected="1" zoomScalePageLayoutView="0" workbookViewId="0" topLeftCell="A1">
      <selection activeCell="A2" sqref="A2:L2"/>
    </sheetView>
  </sheetViews>
  <sheetFormatPr defaultColWidth="11.421875" defaultRowHeight="15"/>
  <cols>
    <col min="1" max="1" width="4.7109375" style="0" customWidth="1"/>
    <col min="2" max="2" width="36.140625" style="0" customWidth="1"/>
    <col min="3" max="3" width="13.8515625" style="0" customWidth="1"/>
    <col min="4" max="4" width="18.8515625" style="0" customWidth="1"/>
    <col min="5" max="5" width="22.8515625" style="0" customWidth="1"/>
    <col min="6" max="6" width="16.8515625" style="0" bestFit="1" customWidth="1"/>
    <col min="7" max="7" width="16.57421875" style="0" customWidth="1"/>
    <col min="8" max="8" width="15.7109375" style="0" customWidth="1"/>
    <col min="10" max="10" width="26.421875" style="0" customWidth="1"/>
    <col min="11" max="11" width="15.57421875" style="0" hidden="1" customWidth="1"/>
    <col min="12" max="12" width="16.28125" style="0" hidden="1" customWidth="1"/>
  </cols>
  <sheetData>
    <row r="1" spans="1:14" s="1" customFormat="1" ht="18.75" customHeight="1">
      <c r="A1" s="229" t="s">
        <v>72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90"/>
      <c r="N1" s="90"/>
    </row>
    <row r="2" spans="1:14" s="1" customFormat="1" ht="27" customHeight="1">
      <c r="A2" s="229" t="s">
        <v>73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90"/>
      <c r="N2" s="90"/>
    </row>
    <row r="3" spans="1:12" ht="19.5" customHeight="1">
      <c r="A3" s="230" t="s">
        <v>46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ht="19.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30" customHeight="1">
      <c r="A5" s="238" t="s">
        <v>5</v>
      </c>
      <c r="B5" s="219" t="s">
        <v>0</v>
      </c>
      <c r="C5" s="219" t="s">
        <v>47</v>
      </c>
      <c r="D5" s="219"/>
      <c r="E5" s="219"/>
      <c r="F5" s="219"/>
      <c r="G5" s="41" t="s">
        <v>48</v>
      </c>
      <c r="H5" s="219" t="s">
        <v>49</v>
      </c>
      <c r="I5" s="219" t="s">
        <v>26</v>
      </c>
      <c r="J5" s="217" t="s">
        <v>50</v>
      </c>
      <c r="K5" s="5"/>
      <c r="L5" s="5"/>
    </row>
    <row r="6" spans="1:12" ht="45.75" thickBot="1">
      <c r="A6" s="241"/>
      <c r="B6" s="220"/>
      <c r="C6" s="99" t="s">
        <v>51</v>
      </c>
      <c r="D6" s="99" t="s">
        <v>52</v>
      </c>
      <c r="E6" s="99" t="s">
        <v>53</v>
      </c>
      <c r="F6" s="99" t="s">
        <v>21</v>
      </c>
      <c r="G6" s="100" t="s">
        <v>54</v>
      </c>
      <c r="H6" s="220"/>
      <c r="I6" s="220"/>
      <c r="J6" s="218"/>
      <c r="K6" s="5"/>
      <c r="L6" s="5"/>
    </row>
    <row r="7" spans="1:12" ht="18.75" customHeight="1">
      <c r="A7" s="74">
        <v>1</v>
      </c>
      <c r="B7" s="75" t="s">
        <v>74</v>
      </c>
      <c r="C7" s="76" t="s">
        <v>20</v>
      </c>
      <c r="D7" s="197">
        <v>18297.5</v>
      </c>
      <c r="E7" s="77">
        <v>11794.16</v>
      </c>
      <c r="F7" s="196">
        <v>150</v>
      </c>
      <c r="G7" s="198">
        <v>10</v>
      </c>
      <c r="H7" s="76" t="s">
        <v>20</v>
      </c>
      <c r="I7" s="76" t="s">
        <v>20</v>
      </c>
      <c r="J7" s="78">
        <v>0</v>
      </c>
      <c r="K7" s="16"/>
      <c r="L7" s="16"/>
    </row>
    <row r="8" spans="1:12" ht="15">
      <c r="A8" s="79">
        <v>2</v>
      </c>
      <c r="B8" s="59" t="s">
        <v>75</v>
      </c>
      <c r="C8" s="65" t="str">
        <f>+'CON CIEN BAS'!M18</f>
        <v>CUMPLE</v>
      </c>
      <c r="D8" s="66">
        <v>13329.98</v>
      </c>
      <c r="E8" s="66">
        <v>6826.65</v>
      </c>
      <c r="F8" s="68">
        <f>+'CON CIEN BAS'!K18</f>
        <v>150</v>
      </c>
      <c r="G8" s="199">
        <v>10</v>
      </c>
      <c r="H8" s="65" t="str">
        <f>+'CON CIEN BAS'!M43</f>
        <v>CUMPLE</v>
      </c>
      <c r="I8" s="65" t="str">
        <f>+'CON CIEN BAS'!K44</f>
        <v>CUMPLE</v>
      </c>
      <c r="J8" s="80">
        <v>0</v>
      </c>
      <c r="K8" s="16"/>
      <c r="L8" s="16"/>
    </row>
    <row r="9" spans="1:12" ht="15">
      <c r="A9" s="200">
        <v>3</v>
      </c>
      <c r="B9" s="201" t="s">
        <v>76</v>
      </c>
      <c r="C9" s="202" t="s">
        <v>20</v>
      </c>
      <c r="D9" s="203">
        <v>14404.99</v>
      </c>
      <c r="E9" s="203">
        <v>7901.65</v>
      </c>
      <c r="F9" s="204">
        <v>150</v>
      </c>
      <c r="G9" s="205">
        <v>10</v>
      </c>
      <c r="H9" s="202" t="s">
        <v>20</v>
      </c>
      <c r="I9" s="202" t="s">
        <v>71</v>
      </c>
      <c r="J9" s="206">
        <v>0</v>
      </c>
      <c r="K9" s="16"/>
      <c r="L9" s="16"/>
    </row>
    <row r="10" spans="1:12" ht="15">
      <c r="A10" s="79">
        <v>4</v>
      </c>
      <c r="B10" s="59" t="s">
        <v>77</v>
      </c>
      <c r="C10" s="65" t="s">
        <v>20</v>
      </c>
      <c r="D10" s="67">
        <v>13470.04</v>
      </c>
      <c r="E10" s="67">
        <v>6966.71</v>
      </c>
      <c r="F10" s="69">
        <v>150</v>
      </c>
      <c r="G10" s="199">
        <v>10</v>
      </c>
      <c r="H10" s="65" t="s">
        <v>20</v>
      </c>
      <c r="I10" s="65" t="s">
        <v>20</v>
      </c>
      <c r="J10" s="80">
        <v>0</v>
      </c>
      <c r="K10" s="16"/>
      <c r="L10" s="16"/>
    </row>
    <row r="11" spans="1:12" ht="15.75" thickBot="1">
      <c r="A11" s="70"/>
      <c r="B11" s="71"/>
      <c r="C11" s="70"/>
      <c r="D11" s="72"/>
      <c r="E11" s="72"/>
      <c r="F11" s="73"/>
      <c r="G11" s="73"/>
      <c r="H11" s="70"/>
      <c r="I11" s="70"/>
      <c r="J11" s="70"/>
      <c r="K11" s="16"/>
      <c r="L11" s="16"/>
    </row>
    <row r="12" spans="1:12" ht="15" customHeight="1">
      <c r="A12" s="238" t="s">
        <v>5</v>
      </c>
      <c r="B12" s="219" t="s">
        <v>0</v>
      </c>
      <c r="C12" s="238"/>
      <c r="D12" s="239"/>
      <c r="E12" s="238" t="s">
        <v>55</v>
      </c>
      <c r="F12" s="240"/>
      <c r="G12" s="240"/>
      <c r="H12" s="240"/>
      <c r="I12" s="239"/>
      <c r="J12" s="217" t="s">
        <v>56</v>
      </c>
      <c r="K12" s="225" t="s">
        <v>67</v>
      </c>
      <c r="L12" s="227" t="s">
        <v>68</v>
      </c>
    </row>
    <row r="13" spans="1:12" ht="45.75" customHeight="1" thickBot="1">
      <c r="A13" s="241"/>
      <c r="B13" s="220"/>
      <c r="C13" s="242" t="s">
        <v>138</v>
      </c>
      <c r="D13" s="243"/>
      <c r="E13" s="82" t="s">
        <v>57</v>
      </c>
      <c r="F13" s="83" t="s">
        <v>58</v>
      </c>
      <c r="G13" s="84" t="s">
        <v>59</v>
      </c>
      <c r="H13" s="85" t="s">
        <v>60</v>
      </c>
      <c r="I13" s="81" t="s">
        <v>20</v>
      </c>
      <c r="J13" s="218"/>
      <c r="K13" s="226"/>
      <c r="L13" s="228"/>
    </row>
    <row r="14" spans="1:12" s="91" customFormat="1" ht="15.75" thickBot="1">
      <c r="A14" s="207">
        <v>1</v>
      </c>
      <c r="B14" s="208" t="str">
        <f>+B7</f>
        <v>SOLINOFF</v>
      </c>
      <c r="C14" s="221">
        <v>76</v>
      </c>
      <c r="D14" s="222"/>
      <c r="E14" s="209">
        <v>1503797948</v>
      </c>
      <c r="F14" s="209">
        <v>1488755718</v>
      </c>
      <c r="G14" s="209">
        <f>+E14-F14</f>
        <v>15042230</v>
      </c>
      <c r="H14" s="210">
        <f>+G14/E14</f>
        <v>0.010002826523340887</v>
      </c>
      <c r="I14" s="211" t="s">
        <v>71</v>
      </c>
      <c r="J14" s="212" t="s">
        <v>144</v>
      </c>
      <c r="K14" s="101" t="s">
        <v>20</v>
      </c>
      <c r="L14" s="92" t="s">
        <v>20</v>
      </c>
    </row>
    <row r="15" spans="1:12" ht="15.75" thickBot="1">
      <c r="A15" s="79">
        <v>2</v>
      </c>
      <c r="B15" s="59" t="str">
        <f>+B8</f>
        <v>UNION TEMPORAL UMNG 2010</v>
      </c>
      <c r="C15" s="223">
        <v>127</v>
      </c>
      <c r="D15" s="224"/>
      <c r="E15" s="106">
        <v>1557385403</v>
      </c>
      <c r="F15" s="106">
        <v>1557385403</v>
      </c>
      <c r="G15" s="106">
        <f>+E15-F15</f>
        <v>0</v>
      </c>
      <c r="H15" s="121">
        <f>+G15/E15</f>
        <v>0</v>
      </c>
      <c r="I15" s="107" t="s">
        <v>20</v>
      </c>
      <c r="J15" s="103">
        <f>+F8+G8+C15</f>
        <v>287</v>
      </c>
      <c r="K15" s="102" t="s">
        <v>20</v>
      </c>
      <c r="L15" s="93" t="s">
        <v>20</v>
      </c>
    </row>
    <row r="16" spans="1:12" ht="15.75" thickBot="1">
      <c r="A16" s="200">
        <v>3</v>
      </c>
      <c r="B16" s="201" t="str">
        <f>+B9</f>
        <v>UT SERVEX - STIGLITZ</v>
      </c>
      <c r="C16" s="231">
        <v>117</v>
      </c>
      <c r="D16" s="232"/>
      <c r="E16" s="213">
        <v>1599957766</v>
      </c>
      <c r="F16" s="213">
        <v>1599957766</v>
      </c>
      <c r="G16" s="213">
        <f>+E16-F16</f>
        <v>0</v>
      </c>
      <c r="H16" s="214">
        <f>+G16/E16</f>
        <v>0</v>
      </c>
      <c r="I16" s="215" t="s">
        <v>71</v>
      </c>
      <c r="J16" s="216">
        <v>0</v>
      </c>
      <c r="K16" s="102" t="s">
        <v>20</v>
      </c>
      <c r="L16" s="93" t="s">
        <v>20</v>
      </c>
    </row>
    <row r="17" spans="1:12" s="57" customFormat="1" ht="15.75" thickBot="1">
      <c r="A17" s="79">
        <v>4</v>
      </c>
      <c r="B17" s="59" t="str">
        <f>+B10</f>
        <v>CONSORCIO CIENCIAS BASICAS 2010</v>
      </c>
      <c r="C17" s="233">
        <v>79</v>
      </c>
      <c r="D17" s="234"/>
      <c r="E17" s="106">
        <v>1648342470</v>
      </c>
      <c r="F17" s="106">
        <v>1648342470</v>
      </c>
      <c r="G17" s="106">
        <f>+E17-F17</f>
        <v>0</v>
      </c>
      <c r="H17" s="121">
        <f>+G17/E17</f>
        <v>0</v>
      </c>
      <c r="I17" s="107" t="s">
        <v>20</v>
      </c>
      <c r="J17" s="103">
        <f>+F10+G10+C17</f>
        <v>239</v>
      </c>
      <c r="K17" s="102" t="s">
        <v>20</v>
      </c>
      <c r="L17" s="93" t="s">
        <v>20</v>
      </c>
    </row>
    <row r="18" spans="1:12" ht="29.25" customHeight="1" thickBot="1">
      <c r="A18" s="235" t="s">
        <v>137</v>
      </c>
      <c r="B18" s="236"/>
      <c r="C18" s="236"/>
      <c r="D18" s="236"/>
      <c r="E18" s="236"/>
      <c r="F18" s="236"/>
      <c r="G18" s="236"/>
      <c r="H18" s="236"/>
      <c r="I18" s="236"/>
      <c r="J18" s="237"/>
      <c r="K18" s="122"/>
      <c r="L18" s="122"/>
    </row>
    <row r="19" spans="1:12" ht="15">
      <c r="A19" s="28"/>
      <c r="B19" s="29"/>
      <c r="C19" s="30"/>
      <c r="D19" s="31"/>
      <c r="E19" s="32"/>
      <c r="F19" s="32"/>
      <c r="G19" s="32"/>
      <c r="H19" s="33"/>
      <c r="I19" s="16"/>
      <c r="J19" s="16"/>
      <c r="K19" s="16"/>
      <c r="L19" s="16"/>
    </row>
    <row r="20" spans="1:12" ht="15">
      <c r="A20" s="14" t="s">
        <v>33</v>
      </c>
      <c r="B20" s="15"/>
      <c r="C20" s="16"/>
      <c r="D20" s="16"/>
      <c r="E20" s="16"/>
      <c r="F20" s="16"/>
      <c r="G20" s="16"/>
      <c r="H20" s="16"/>
      <c r="I20" s="16"/>
      <c r="J20" s="34"/>
      <c r="K20" s="16"/>
      <c r="L20" s="16"/>
    </row>
    <row r="21" spans="1:12" ht="15">
      <c r="A21" s="14"/>
      <c r="B21" s="15"/>
      <c r="C21" s="16"/>
      <c r="D21" s="16"/>
      <c r="E21" s="16"/>
      <c r="F21" s="16"/>
      <c r="G21" s="16"/>
      <c r="H21" s="16"/>
      <c r="I21" s="16"/>
      <c r="J21" s="34"/>
      <c r="K21" s="16"/>
      <c r="L21" s="16"/>
    </row>
    <row r="22" spans="1:12" ht="15">
      <c r="A22" s="14"/>
      <c r="B22" s="15"/>
      <c r="C22" s="16"/>
      <c r="D22" s="16"/>
      <c r="E22" s="16"/>
      <c r="F22" s="16"/>
      <c r="G22" s="16"/>
      <c r="H22" s="16"/>
      <c r="I22" s="16"/>
      <c r="J22" s="34"/>
      <c r="K22" s="16"/>
      <c r="L22" s="16"/>
    </row>
    <row r="23" spans="1:12" ht="15">
      <c r="A23" s="14"/>
      <c r="B23" s="15"/>
      <c r="C23" s="16"/>
      <c r="D23" s="16"/>
      <c r="E23" s="16"/>
      <c r="F23" s="16"/>
      <c r="G23" s="16"/>
      <c r="H23" s="16"/>
      <c r="I23" s="16"/>
      <c r="J23" s="34"/>
      <c r="K23" s="16"/>
      <c r="L23" s="16"/>
    </row>
    <row r="24" spans="1:12" ht="15">
      <c r="A24" s="19"/>
      <c r="B24" s="15"/>
      <c r="C24" s="16"/>
      <c r="D24" s="16"/>
      <c r="E24" s="16"/>
      <c r="F24" s="16"/>
      <c r="G24" s="16"/>
      <c r="H24" s="63"/>
      <c r="I24" s="63"/>
      <c r="J24" s="64"/>
      <c r="K24" s="16"/>
      <c r="L24" s="16"/>
    </row>
    <row r="25" spans="2:22" s="16" customFormat="1" ht="15">
      <c r="B25" s="20" t="s">
        <v>134</v>
      </c>
      <c r="D25" s="20" t="s">
        <v>139</v>
      </c>
      <c r="F25" s="20"/>
      <c r="G25" s="63" t="s">
        <v>140</v>
      </c>
      <c r="H25" s="63"/>
      <c r="J25" s="63"/>
      <c r="Q25" s="25"/>
      <c r="R25" s="27"/>
      <c r="T25" s="25"/>
      <c r="U25" s="27"/>
      <c r="V25" s="10"/>
    </row>
    <row r="26" spans="2:22" s="16" customFormat="1" ht="15">
      <c r="B26" s="20" t="s">
        <v>141</v>
      </c>
      <c r="D26" s="20" t="s">
        <v>142</v>
      </c>
      <c r="F26" s="20"/>
      <c r="G26" s="20" t="s">
        <v>143</v>
      </c>
      <c r="H26" s="63"/>
      <c r="J26" s="63"/>
      <c r="Q26" s="25"/>
      <c r="R26" s="27"/>
      <c r="T26" s="25"/>
      <c r="U26" s="27"/>
      <c r="V26" s="10"/>
    </row>
    <row r="27" spans="1:12" ht="15">
      <c r="A27" s="19"/>
      <c r="B27" s="15"/>
      <c r="C27" s="16"/>
      <c r="D27" s="16"/>
      <c r="E27" s="16"/>
      <c r="F27" s="16"/>
      <c r="G27" s="16"/>
      <c r="H27" s="63"/>
      <c r="I27" s="63"/>
      <c r="J27" s="64"/>
      <c r="K27" s="16"/>
      <c r="L27" s="16"/>
    </row>
    <row r="28" spans="1:11" ht="15">
      <c r="A28" s="20"/>
      <c r="B28" s="16"/>
      <c r="C28" s="16"/>
      <c r="D28" s="16"/>
      <c r="E28" s="16"/>
      <c r="F28" s="16"/>
      <c r="G28" s="16"/>
      <c r="H28" s="63"/>
      <c r="I28" s="63"/>
      <c r="J28" s="63"/>
      <c r="K28" s="16"/>
    </row>
    <row r="29" spans="1:12" ht="15">
      <c r="A29" s="19"/>
      <c r="B29" s="20"/>
      <c r="C29" s="16"/>
      <c r="D29" s="16"/>
      <c r="E29" s="16"/>
      <c r="F29" s="16"/>
      <c r="G29" s="16"/>
      <c r="H29" s="16"/>
      <c r="I29" s="16"/>
      <c r="J29" s="16"/>
      <c r="K29" s="16"/>
      <c r="L29" s="16"/>
    </row>
  </sheetData>
  <sheetProtection/>
  <mergeCells count="22">
    <mergeCell ref="C16:D16"/>
    <mergeCell ref="C17:D17"/>
    <mergeCell ref="A18:J18"/>
    <mergeCell ref="C12:D12"/>
    <mergeCell ref="E12:I12"/>
    <mergeCell ref="A5:A6"/>
    <mergeCell ref="B5:B6"/>
    <mergeCell ref="A12:A13"/>
    <mergeCell ref="B12:B13"/>
    <mergeCell ref="C13:D13"/>
    <mergeCell ref="A2:L2"/>
    <mergeCell ref="A1:L1"/>
    <mergeCell ref="A3:L3"/>
    <mergeCell ref="J5:J6"/>
    <mergeCell ref="C5:F5"/>
    <mergeCell ref="H5:H6"/>
    <mergeCell ref="J12:J13"/>
    <mergeCell ref="I5:I6"/>
    <mergeCell ref="C14:D14"/>
    <mergeCell ref="C15:D15"/>
    <mergeCell ref="K12:K13"/>
    <mergeCell ref="L12:L13"/>
  </mergeCells>
  <printOptions horizontalCentered="1" verticalCentered="1"/>
  <pageMargins left="0.1968503937007874" right="0.15748031496062992" top="0.15748031496062992" bottom="0.7480314960629921" header="0.31496062992125984" footer="0.31496062992125984"/>
  <pageSetup horizontalDpi="600" verticalDpi="600" orientation="landscape" paperSize="14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F27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27.140625" style="0" bestFit="1" customWidth="1"/>
    <col min="2" max="2" width="18.28125" style="0" bestFit="1" customWidth="1"/>
    <col min="3" max="3" width="14.28125" style="0" customWidth="1"/>
    <col min="4" max="4" width="5.00390625" style="0" bestFit="1" customWidth="1"/>
    <col min="5" max="5" width="50.8515625" style="0" customWidth="1"/>
  </cols>
  <sheetData>
    <row r="1" spans="1:5" ht="15">
      <c r="A1" s="56" t="s">
        <v>39</v>
      </c>
      <c r="B1" s="56" t="s">
        <v>40</v>
      </c>
      <c r="E1" s="21" t="s">
        <v>0</v>
      </c>
    </row>
    <row r="2" spans="1:6" ht="15">
      <c r="A2" s="57" t="s">
        <v>36</v>
      </c>
      <c r="B2" s="58">
        <v>1674607960</v>
      </c>
      <c r="D2">
        <v>1</v>
      </c>
      <c r="E2" s="62" t="s">
        <v>74</v>
      </c>
      <c r="F2" s="22"/>
    </row>
    <row r="3" spans="1:5" ht="15">
      <c r="A3" s="43" t="s">
        <v>90</v>
      </c>
      <c r="B3" s="44">
        <f>+B27</f>
        <v>515000</v>
      </c>
      <c r="D3">
        <v>2</v>
      </c>
      <c r="E3" s="62" t="s">
        <v>77</v>
      </c>
    </row>
    <row r="4" spans="1:5" ht="15">
      <c r="A4" s="43" t="s">
        <v>16</v>
      </c>
      <c r="B4" s="45">
        <f>B2/B3</f>
        <v>3251.665941747573</v>
      </c>
      <c r="D4">
        <v>3</v>
      </c>
      <c r="E4" s="62" t="s">
        <v>75</v>
      </c>
    </row>
    <row r="5" spans="1:5" ht="15">
      <c r="A5" s="43" t="s">
        <v>38</v>
      </c>
      <c r="B5" s="45">
        <f>B4*0.3</f>
        <v>975.4997825242718</v>
      </c>
      <c r="D5">
        <v>4</v>
      </c>
      <c r="E5" s="62" t="s">
        <v>92</v>
      </c>
    </row>
    <row r="6" spans="1:5" ht="15">
      <c r="A6" s="43" t="s">
        <v>35</v>
      </c>
      <c r="B6" s="45">
        <f>B4*2</f>
        <v>6503.331883495146</v>
      </c>
      <c r="E6" s="62"/>
    </row>
    <row r="7" spans="1:5" ht="15">
      <c r="A7" s="43" t="s">
        <v>37</v>
      </c>
      <c r="B7" s="43">
        <v>1000</v>
      </c>
      <c r="C7" s="58"/>
      <c r="D7" s="57"/>
      <c r="E7" s="57"/>
    </row>
    <row r="8" spans="1:5" ht="15">
      <c r="A8" s="43" t="s">
        <v>43</v>
      </c>
      <c r="B8" s="45">
        <f>+B4*3</f>
        <v>9754.997825242719</v>
      </c>
      <c r="D8" s="57"/>
      <c r="E8" s="57"/>
    </row>
    <row r="9" spans="1:2" ht="15">
      <c r="A9" s="43" t="s">
        <v>44</v>
      </c>
      <c r="B9" s="45">
        <f>+B4*2</f>
        <v>6503.331883495146</v>
      </c>
    </row>
    <row r="10" spans="1:2" ht="15">
      <c r="A10" s="43" t="s">
        <v>45</v>
      </c>
      <c r="B10" s="45">
        <f>+B4*1.5</f>
        <v>4877.4989126213595</v>
      </c>
    </row>
    <row r="11" spans="1:2" ht="15">
      <c r="A11" s="42" t="s">
        <v>41</v>
      </c>
      <c r="B11" s="42" t="s">
        <v>16</v>
      </c>
    </row>
    <row r="12" spans="1:6" ht="15">
      <c r="A12" s="43">
        <v>1995</v>
      </c>
      <c r="B12" s="44">
        <v>118170</v>
      </c>
      <c r="E12" t="s">
        <v>26</v>
      </c>
      <c r="F12" s="22">
        <f>+B9</f>
        <v>6503.331883495146</v>
      </c>
    </row>
    <row r="13" spans="1:6" ht="15">
      <c r="A13" s="43">
        <v>1996</v>
      </c>
      <c r="B13" s="44">
        <v>142125</v>
      </c>
      <c r="E13" t="s">
        <v>63</v>
      </c>
      <c r="F13" s="22">
        <f>+B8</f>
        <v>9754.997825242719</v>
      </c>
    </row>
    <row r="14" spans="1:6" ht="15">
      <c r="A14" s="43">
        <v>1997</v>
      </c>
      <c r="B14" s="44">
        <v>172005</v>
      </c>
      <c r="E14" t="s">
        <v>64</v>
      </c>
      <c r="F14" s="60">
        <f>+F13*0.2</f>
        <v>1950.999565048544</v>
      </c>
    </row>
    <row r="15" spans="1:2" ht="15">
      <c r="A15" s="43">
        <v>1998</v>
      </c>
      <c r="B15" s="44">
        <v>203825</v>
      </c>
    </row>
    <row r="16" spans="1:2" ht="15">
      <c r="A16" s="43">
        <v>1999</v>
      </c>
      <c r="B16" s="44">
        <v>236438</v>
      </c>
    </row>
    <row r="17" spans="1:2" ht="15">
      <c r="A17" s="43">
        <v>2000</v>
      </c>
      <c r="B17" s="44">
        <v>260100</v>
      </c>
    </row>
    <row r="18" spans="1:2" ht="15">
      <c r="A18" s="43">
        <v>2001</v>
      </c>
      <c r="B18" s="44">
        <v>286000</v>
      </c>
    </row>
    <row r="19" spans="1:2" ht="15">
      <c r="A19" s="43">
        <v>2002</v>
      </c>
      <c r="B19" s="44">
        <v>309000</v>
      </c>
    </row>
    <row r="20" spans="1:2" ht="15">
      <c r="A20" s="43">
        <v>2003</v>
      </c>
      <c r="B20" s="44">
        <v>332000</v>
      </c>
    </row>
    <row r="21" spans="1:2" ht="15">
      <c r="A21" s="43">
        <v>2004</v>
      </c>
      <c r="B21" s="44">
        <v>358000</v>
      </c>
    </row>
    <row r="22" spans="1:2" ht="15">
      <c r="A22" s="43">
        <v>2005</v>
      </c>
      <c r="B22" s="44">
        <v>381500</v>
      </c>
    </row>
    <row r="23" spans="1:2" ht="15">
      <c r="A23" s="43">
        <v>2006</v>
      </c>
      <c r="B23" s="44">
        <v>408000</v>
      </c>
    </row>
    <row r="24" spans="1:2" ht="15">
      <c r="A24" s="43">
        <v>2007</v>
      </c>
      <c r="B24" s="44">
        <v>433700</v>
      </c>
    </row>
    <row r="25" spans="1:2" ht="15">
      <c r="A25" s="43">
        <v>2008</v>
      </c>
      <c r="B25" s="44">
        <v>461500</v>
      </c>
    </row>
    <row r="26" spans="1:2" ht="15">
      <c r="A26" s="43">
        <v>2009</v>
      </c>
      <c r="B26" s="44">
        <v>496900</v>
      </c>
    </row>
    <row r="27" spans="1:2" ht="15">
      <c r="A27" s="43">
        <v>2010</v>
      </c>
      <c r="B27" s="165">
        <v>515000</v>
      </c>
    </row>
  </sheetData>
  <sheetProtection/>
  <printOptions/>
  <pageMargins left="0.7" right="0.7" top="0.75" bottom="0.75" header="0.3" footer="0.3"/>
  <pageSetup horizontalDpi="600" verticalDpi="600" orientation="portrait" paperSize="14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W68"/>
  <sheetViews>
    <sheetView zoomScale="65" zoomScaleNormal="65" zoomScalePageLayoutView="0" workbookViewId="0" topLeftCell="A1">
      <selection activeCell="M44" sqref="M44:N44"/>
    </sheetView>
  </sheetViews>
  <sheetFormatPr defaultColWidth="11.421875" defaultRowHeight="15"/>
  <cols>
    <col min="1" max="1" width="6.140625" style="1" customWidth="1"/>
    <col min="2" max="2" width="21.00390625" style="1" customWidth="1"/>
    <col min="3" max="3" width="22.140625" style="1" bestFit="1" customWidth="1"/>
    <col min="4" max="4" width="21.421875" style="1" customWidth="1"/>
    <col min="5" max="5" width="12.28125" style="1" customWidth="1"/>
    <col min="6" max="6" width="19.140625" style="1" customWidth="1"/>
    <col min="7" max="7" width="11.421875" style="1" customWidth="1"/>
    <col min="8" max="8" width="15.57421875" style="1" customWidth="1"/>
    <col min="9" max="9" width="24.57421875" style="2" customWidth="1"/>
    <col min="10" max="10" width="12.421875" style="1" bestFit="1" customWidth="1"/>
    <col min="11" max="11" width="13.00390625" style="3" customWidth="1"/>
    <col min="12" max="12" width="12.7109375" style="1" customWidth="1"/>
    <col min="13" max="13" width="12.8515625" style="1" customWidth="1"/>
    <col min="14" max="14" width="17.57421875" style="3" customWidth="1"/>
    <col min="15" max="15" width="12.8515625" style="1" bestFit="1" customWidth="1"/>
    <col min="16" max="16" width="12.28125" style="23" bestFit="1" customWidth="1"/>
    <col min="17" max="17" width="11.421875" style="1" customWidth="1"/>
    <col min="18" max="18" width="12.421875" style="1" bestFit="1" customWidth="1"/>
    <col min="19" max="19" width="11.421875" style="1" customWidth="1"/>
    <col min="20" max="20" width="26.57421875" style="1" customWidth="1"/>
    <col min="21" max="21" width="11.421875" style="1" customWidth="1"/>
    <col min="22" max="22" width="10.8515625" style="1" bestFit="1" customWidth="1"/>
    <col min="23" max="16384" width="11.421875" style="1" customWidth="1"/>
  </cols>
  <sheetData>
    <row r="1" spans="1:14" ht="18.75" customHeight="1">
      <c r="A1" s="245" t="s">
        <v>72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15" customHeight="1">
      <c r="A2" s="246" t="s">
        <v>73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20" ht="21" customHeight="1">
      <c r="A3" s="249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1"/>
      <c r="T3" s="1">
        <f>2307013684-231770224</f>
        <v>2075243460</v>
      </c>
    </row>
    <row r="4" ht="15.75" thickBot="1"/>
    <row r="5" spans="1:10" ht="24.75" customHeight="1" thickBot="1">
      <c r="A5" s="52" t="s">
        <v>0</v>
      </c>
      <c r="B5" s="53"/>
      <c r="C5" s="348" t="s">
        <v>103</v>
      </c>
      <c r="D5" s="349"/>
      <c r="E5" s="349"/>
      <c r="F5" s="54" t="s">
        <v>1</v>
      </c>
      <c r="G5" s="350" t="s">
        <v>2</v>
      </c>
      <c r="H5" s="351"/>
      <c r="I5" s="350" t="s">
        <v>42</v>
      </c>
      <c r="J5" s="351"/>
    </row>
    <row r="6" spans="1:10" ht="15.75" thickBot="1">
      <c r="A6" s="352" t="s">
        <v>3</v>
      </c>
      <c r="B6" s="353"/>
      <c r="C6" s="276" t="s">
        <v>115</v>
      </c>
      <c r="D6" s="236"/>
      <c r="E6" s="277"/>
      <c r="F6" s="97">
        <v>0.8</v>
      </c>
      <c r="G6" s="340" t="s">
        <v>61</v>
      </c>
      <c r="H6" s="341"/>
      <c r="I6" s="340" t="s">
        <v>20</v>
      </c>
      <c r="J6" s="341"/>
    </row>
    <row r="7" spans="1:10" ht="15.75" thickBot="1">
      <c r="A7" s="354" t="s">
        <v>3</v>
      </c>
      <c r="B7" s="355"/>
      <c r="C7" s="276" t="s">
        <v>116</v>
      </c>
      <c r="D7" s="236"/>
      <c r="E7" s="277"/>
      <c r="F7" s="97">
        <v>0.2</v>
      </c>
      <c r="G7" s="340" t="s">
        <v>61</v>
      </c>
      <c r="H7" s="341"/>
      <c r="I7" s="340" t="s">
        <v>20</v>
      </c>
      <c r="J7" s="341"/>
    </row>
    <row r="8" spans="1:16" s="47" customFormat="1" ht="15.75" thickBot="1">
      <c r="A8" s="94"/>
      <c r="B8" s="95"/>
      <c r="C8" s="96"/>
      <c r="D8" s="55"/>
      <c r="E8" s="55"/>
      <c r="F8" s="50"/>
      <c r="G8" s="46"/>
      <c r="H8" s="46"/>
      <c r="I8" s="46"/>
      <c r="J8" s="46"/>
      <c r="K8" s="51"/>
      <c r="N8" s="48"/>
      <c r="P8" s="49"/>
    </row>
    <row r="9" spans="1:14" ht="19.5" thickBot="1">
      <c r="A9" s="303" t="s">
        <v>4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5"/>
    </row>
    <row r="10" spans="1:20" s="5" customFormat="1" ht="45">
      <c r="A10" s="342" t="s">
        <v>5</v>
      </c>
      <c r="B10" s="344" t="s">
        <v>6</v>
      </c>
      <c r="C10" s="344" t="s">
        <v>7</v>
      </c>
      <c r="D10" s="344" t="s">
        <v>3</v>
      </c>
      <c r="E10" s="344" t="s">
        <v>8</v>
      </c>
      <c r="F10" s="4" t="s">
        <v>9</v>
      </c>
      <c r="G10" s="4" t="s">
        <v>10</v>
      </c>
      <c r="H10" s="4" t="s">
        <v>11</v>
      </c>
      <c r="I10" s="86" t="s">
        <v>12</v>
      </c>
      <c r="J10" s="87" t="s">
        <v>13</v>
      </c>
      <c r="K10" s="88" t="s">
        <v>34</v>
      </c>
      <c r="L10" s="87" t="s">
        <v>91</v>
      </c>
      <c r="M10" s="346" t="s">
        <v>14</v>
      </c>
      <c r="N10" s="347"/>
      <c r="P10" s="24"/>
      <c r="R10" s="5">
        <v>25450264</v>
      </c>
      <c r="T10" s="116">
        <v>2307013684</v>
      </c>
    </row>
    <row r="11" spans="1:20" s="5" customFormat="1" ht="15.75" thickBot="1">
      <c r="A11" s="343"/>
      <c r="B11" s="345"/>
      <c r="C11" s="345"/>
      <c r="D11" s="345"/>
      <c r="E11" s="345"/>
      <c r="F11" s="117">
        <v>1</v>
      </c>
      <c r="G11" s="117">
        <v>2</v>
      </c>
      <c r="H11" s="117">
        <v>3</v>
      </c>
      <c r="I11" s="118">
        <v>4</v>
      </c>
      <c r="J11" s="118">
        <v>5</v>
      </c>
      <c r="K11" s="119" t="s">
        <v>15</v>
      </c>
      <c r="L11" s="118">
        <v>6</v>
      </c>
      <c r="M11" s="118">
        <v>7</v>
      </c>
      <c r="N11" s="120">
        <v>8</v>
      </c>
      <c r="P11" s="24"/>
      <c r="R11" s="5">
        <v>32528257</v>
      </c>
      <c r="T11" s="61"/>
    </row>
    <row r="12" spans="1:18" ht="57" customHeight="1" thickBot="1">
      <c r="A12" s="150">
        <v>1</v>
      </c>
      <c r="B12" s="152" t="s">
        <v>120</v>
      </c>
      <c r="C12" s="152" t="s">
        <v>115</v>
      </c>
      <c r="D12" s="152" t="s">
        <v>115</v>
      </c>
      <c r="E12" s="154">
        <v>1</v>
      </c>
      <c r="F12" s="154">
        <v>1</v>
      </c>
      <c r="G12" s="170">
        <v>40123</v>
      </c>
      <c r="H12" s="170">
        <v>40237</v>
      </c>
      <c r="I12" s="171">
        <v>3229782448</v>
      </c>
      <c r="J12" s="157">
        <f>I12/PARAMETROS!B26</f>
        <v>6499.864053129402</v>
      </c>
      <c r="K12" s="157">
        <f>+F12*J12</f>
        <v>6499.864053129402</v>
      </c>
      <c r="L12" s="158" t="s">
        <v>20</v>
      </c>
      <c r="M12" s="159" t="s">
        <v>62</v>
      </c>
      <c r="N12" s="160" t="s">
        <v>20</v>
      </c>
      <c r="R12" s="1">
        <v>71150968</v>
      </c>
    </row>
    <row r="13" spans="1:20" ht="75.75" customHeight="1" thickBot="1">
      <c r="A13" s="150">
        <v>2</v>
      </c>
      <c r="B13" s="151" t="s">
        <v>121</v>
      </c>
      <c r="C13" s="152" t="s">
        <v>115</v>
      </c>
      <c r="D13" s="152" t="s">
        <v>115</v>
      </c>
      <c r="E13" s="154">
        <v>1</v>
      </c>
      <c r="F13" s="154">
        <v>1</v>
      </c>
      <c r="G13" s="155">
        <v>39985</v>
      </c>
      <c r="H13" s="155">
        <v>40033</v>
      </c>
      <c r="I13" s="156">
        <v>1631090206</v>
      </c>
      <c r="J13" s="157">
        <f>I13/PARAMETROS!B24</f>
        <v>3760.872045192529</v>
      </c>
      <c r="K13" s="157">
        <f>+E13*J13</f>
        <v>3760.872045192529</v>
      </c>
      <c r="L13" s="158" t="s">
        <v>20</v>
      </c>
      <c r="M13" s="159" t="s">
        <v>62</v>
      </c>
      <c r="N13" s="160" t="s">
        <v>20</v>
      </c>
      <c r="R13" s="1">
        <v>1033170</v>
      </c>
      <c r="T13" s="116" t="e">
        <f>+I13-#REF!</f>
        <v>#REF!</v>
      </c>
    </row>
    <row r="14" spans="1:20" ht="56.25" customHeight="1" thickBot="1">
      <c r="A14" s="150">
        <v>3</v>
      </c>
      <c r="B14" s="151" t="s">
        <v>122</v>
      </c>
      <c r="C14" s="152" t="s">
        <v>115</v>
      </c>
      <c r="D14" s="152" t="s">
        <v>115</v>
      </c>
      <c r="E14" s="154">
        <v>1</v>
      </c>
      <c r="F14" s="154">
        <v>1</v>
      </c>
      <c r="G14" s="155">
        <v>38985</v>
      </c>
      <c r="H14" s="155">
        <v>39097</v>
      </c>
      <c r="I14" s="156">
        <v>1690853765</v>
      </c>
      <c r="J14" s="157">
        <f>I14/PARAMETROS!B23</f>
        <v>4144.249424019607</v>
      </c>
      <c r="K14" s="164">
        <f>+F14*J14</f>
        <v>4144.249424019607</v>
      </c>
      <c r="L14" s="158" t="s">
        <v>20</v>
      </c>
      <c r="M14" s="159" t="s">
        <v>62</v>
      </c>
      <c r="N14" s="160" t="s">
        <v>20</v>
      </c>
      <c r="R14" s="1">
        <v>280000</v>
      </c>
      <c r="T14" s="61" t="e">
        <f>SUM(#REF!)</f>
        <v>#REF!</v>
      </c>
    </row>
    <row r="15" spans="1:18" ht="15">
      <c r="A15" s="146" t="s">
        <v>17</v>
      </c>
      <c r="B15" s="36"/>
      <c r="C15" s="36"/>
      <c r="D15" s="36"/>
      <c r="E15" s="36"/>
      <c r="F15" s="36"/>
      <c r="G15" s="36"/>
      <c r="H15" s="147"/>
      <c r="I15" s="326" t="s">
        <v>18</v>
      </c>
      <c r="J15" s="327"/>
      <c r="K15" s="148">
        <f>SUM(K12:K14)</f>
        <v>14404.98552234154</v>
      </c>
      <c r="L15" s="149" t="s">
        <v>16</v>
      </c>
      <c r="M15" s="328"/>
      <c r="N15" s="329"/>
      <c r="R15" s="1">
        <v>1273259</v>
      </c>
    </row>
    <row r="16" spans="1:18" ht="27.75" customHeight="1">
      <c r="A16" s="108" t="s">
        <v>62</v>
      </c>
      <c r="B16" s="312" t="s">
        <v>93</v>
      </c>
      <c r="C16" s="312"/>
      <c r="D16" s="312"/>
      <c r="E16" s="312"/>
      <c r="F16" s="312"/>
      <c r="G16" s="114">
        <f>+PARAMETROS!B4</f>
        <v>3251.665941747573</v>
      </c>
      <c r="H16" s="115" t="s">
        <v>16</v>
      </c>
      <c r="I16" s="332" t="s">
        <v>19</v>
      </c>
      <c r="J16" s="334">
        <f>PARAMETROS!B6</f>
        <v>6503.331883495146</v>
      </c>
      <c r="K16" s="336">
        <f>+K15-J16</f>
        <v>7901.653638846394</v>
      </c>
      <c r="L16" s="338" t="s">
        <v>16</v>
      </c>
      <c r="M16" s="328"/>
      <c r="N16" s="329"/>
      <c r="R16" s="1">
        <v>3178308</v>
      </c>
    </row>
    <row r="17" spans="1:18" ht="31.5" customHeight="1" thickBot="1">
      <c r="A17" s="311"/>
      <c r="B17" s="312"/>
      <c r="C17" s="312"/>
      <c r="D17" s="312"/>
      <c r="E17" s="312"/>
      <c r="F17" s="312"/>
      <c r="G17" s="312"/>
      <c r="H17" s="313"/>
      <c r="I17" s="333"/>
      <c r="J17" s="335"/>
      <c r="K17" s="337"/>
      <c r="L17" s="339"/>
      <c r="M17" s="330"/>
      <c r="N17" s="331"/>
      <c r="R17" s="1">
        <v>516585</v>
      </c>
    </row>
    <row r="18" spans="1:20" ht="30.75" customHeight="1">
      <c r="A18" s="311"/>
      <c r="B18" s="312"/>
      <c r="C18" s="312"/>
      <c r="D18" s="312"/>
      <c r="E18" s="312"/>
      <c r="F18" s="312"/>
      <c r="G18" s="312"/>
      <c r="H18" s="313"/>
      <c r="I18" s="314" t="s">
        <v>21</v>
      </c>
      <c r="J18" s="315"/>
      <c r="K18" s="318">
        <f>IF(K16&lt;0,"",IF(ROUND(+K16/PARAMETROS!B7,0)&gt;3,150,ROUNDDOWN(+K16/PARAMETROS!B7,0)*30))</f>
        <v>150</v>
      </c>
      <c r="L18" s="319"/>
      <c r="M18" s="322" t="str">
        <f>IF(K15&gt;J16,"CUMPLE","NO CUMPLE")</f>
        <v>CUMPLE</v>
      </c>
      <c r="N18" s="323"/>
      <c r="R18" s="1">
        <v>1273259</v>
      </c>
      <c r="T18" s="161" t="e">
        <f>T10-#REF!</f>
        <v>#REF!</v>
      </c>
    </row>
    <row r="19" spans="1:18" ht="15.75" thickBot="1">
      <c r="A19" s="7"/>
      <c r="B19" s="8"/>
      <c r="C19" s="8"/>
      <c r="D19" s="8"/>
      <c r="E19" s="8"/>
      <c r="F19" s="8"/>
      <c r="G19" s="8"/>
      <c r="H19" s="9"/>
      <c r="I19" s="316"/>
      <c r="J19" s="317"/>
      <c r="K19" s="320"/>
      <c r="L19" s="321"/>
      <c r="M19" s="324"/>
      <c r="N19" s="325"/>
      <c r="R19" s="1">
        <v>3314046</v>
      </c>
    </row>
    <row r="20" spans="1:14" ht="21">
      <c r="A20" s="6"/>
      <c r="B20" s="36"/>
      <c r="C20" s="36"/>
      <c r="D20" s="36"/>
      <c r="E20" s="36"/>
      <c r="F20" s="36"/>
      <c r="G20" s="36"/>
      <c r="H20" s="189"/>
      <c r="I20" s="190"/>
      <c r="J20" s="190"/>
      <c r="K20" s="191"/>
      <c r="L20" s="191"/>
      <c r="M20" s="192"/>
      <c r="N20" s="193"/>
    </row>
    <row r="21" spans="1:14" ht="21">
      <c r="A21" s="6"/>
      <c r="B21" s="36"/>
      <c r="C21" s="36"/>
      <c r="D21" s="36"/>
      <c r="E21" s="36"/>
      <c r="F21" s="36"/>
      <c r="G21" s="36"/>
      <c r="H21" s="189"/>
      <c r="I21" s="190"/>
      <c r="J21" s="190"/>
      <c r="K21" s="191"/>
      <c r="L21" s="191"/>
      <c r="M21" s="192"/>
      <c r="N21" s="193"/>
    </row>
    <row r="22" spans="1:14" ht="21">
      <c r="A22" s="188"/>
      <c r="B22" s="189"/>
      <c r="C22" s="189"/>
      <c r="D22" s="189"/>
      <c r="E22" s="189"/>
      <c r="F22" s="189"/>
      <c r="G22" s="189"/>
      <c r="H22" s="189"/>
      <c r="I22" s="190"/>
      <c r="J22" s="190"/>
      <c r="K22" s="191"/>
      <c r="L22" s="191"/>
      <c r="M22" s="192"/>
      <c r="N22" s="193"/>
    </row>
    <row r="23" spans="1:14" ht="15">
      <c r="A23" s="14" t="s">
        <v>133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  <c r="N23" s="18"/>
    </row>
    <row r="24" spans="1:14" ht="15">
      <c r="A24" s="19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7"/>
      <c r="N24" s="18"/>
    </row>
    <row r="25" spans="1:14" ht="15">
      <c r="A25" s="19"/>
      <c r="B25" s="15"/>
      <c r="C25" s="244" t="s">
        <v>134</v>
      </c>
      <c r="D25" s="244"/>
      <c r="E25" s="16"/>
      <c r="F25" s="244" t="s">
        <v>135</v>
      </c>
      <c r="G25" s="244"/>
      <c r="H25" s="16"/>
      <c r="I25" s="16"/>
      <c r="J25" s="244" t="s">
        <v>136</v>
      </c>
      <c r="K25" s="244"/>
      <c r="L25" s="244"/>
      <c r="M25" s="17"/>
      <c r="N25" s="18"/>
    </row>
    <row r="26" spans="1:14" ht="15">
      <c r="A26" s="19"/>
      <c r="B26" s="15"/>
      <c r="C26" s="244" t="s">
        <v>130</v>
      </c>
      <c r="D26" s="244"/>
      <c r="E26" s="16"/>
      <c r="F26" s="244" t="s">
        <v>131</v>
      </c>
      <c r="G26" s="244"/>
      <c r="H26" s="16"/>
      <c r="I26" s="16"/>
      <c r="J26" s="244" t="s">
        <v>132</v>
      </c>
      <c r="K26" s="244"/>
      <c r="L26" s="244"/>
      <c r="M26" s="17"/>
      <c r="N26" s="18"/>
    </row>
    <row r="27" spans="1:14" ht="15">
      <c r="A27" s="1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  <c r="N27" s="18"/>
    </row>
    <row r="28" spans="1:14" ht="21">
      <c r="A28" s="188"/>
      <c r="B28" s="189"/>
      <c r="C28" s="189"/>
      <c r="D28" s="189"/>
      <c r="E28" s="189"/>
      <c r="F28" s="189"/>
      <c r="G28" s="189"/>
      <c r="H28" s="189"/>
      <c r="I28" s="190"/>
      <c r="J28" s="190"/>
      <c r="K28" s="191"/>
      <c r="L28" s="191"/>
      <c r="M28" s="192"/>
      <c r="N28" s="193"/>
    </row>
    <row r="29" spans="1:14" ht="21">
      <c r="A29" s="188"/>
      <c r="B29" s="189"/>
      <c r="C29" s="189"/>
      <c r="D29" s="189"/>
      <c r="E29" s="189"/>
      <c r="F29" s="189"/>
      <c r="G29" s="189"/>
      <c r="H29" s="189"/>
      <c r="I29" s="190"/>
      <c r="J29" s="190"/>
      <c r="K29" s="191"/>
      <c r="L29" s="191"/>
      <c r="M29" s="192"/>
      <c r="N29" s="193"/>
    </row>
    <row r="30" spans="1:14" ht="21">
      <c r="A30" s="188"/>
      <c r="B30" s="189"/>
      <c r="C30" s="189"/>
      <c r="D30" s="189"/>
      <c r="E30" s="189"/>
      <c r="F30" s="189"/>
      <c r="G30" s="189"/>
      <c r="H30" s="189"/>
      <c r="I30" s="190"/>
      <c r="J30" s="190"/>
      <c r="K30" s="191"/>
      <c r="L30" s="191"/>
      <c r="M30" s="192"/>
      <c r="N30" s="193"/>
    </row>
    <row r="31" spans="1:14" ht="18.75">
      <c r="A31" s="245" t="s">
        <v>72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</row>
    <row r="32" spans="1:14" ht="15">
      <c r="A32" s="246" t="s">
        <v>73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8"/>
    </row>
    <row r="33" spans="1:18" ht="15.75" thickBot="1">
      <c r="A33" s="249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1"/>
      <c r="R33" s="1">
        <v>1273259</v>
      </c>
    </row>
    <row r="34" spans="1:18" ht="19.5" customHeight="1" thickBot="1">
      <c r="A34" s="303" t="s">
        <v>70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5"/>
      <c r="R34" s="1">
        <v>516586</v>
      </c>
    </row>
    <row r="35" spans="1:18" s="10" customFormat="1" ht="15.75" customHeight="1" thickBot="1">
      <c r="A35" s="306" t="s">
        <v>22</v>
      </c>
      <c r="B35" s="307"/>
      <c r="C35" s="308"/>
      <c r="D35" s="274" t="s">
        <v>23</v>
      </c>
      <c r="E35" s="308"/>
      <c r="F35" s="274" t="s">
        <v>24</v>
      </c>
      <c r="G35" s="307"/>
      <c r="H35" s="307"/>
      <c r="I35" s="307"/>
      <c r="J35" s="308"/>
      <c r="K35" s="274" t="s">
        <v>25</v>
      </c>
      <c r="L35" s="307"/>
      <c r="M35" s="308"/>
      <c r="N35" s="40" t="s">
        <v>21</v>
      </c>
      <c r="P35" s="23"/>
      <c r="R35" s="10">
        <v>9943264</v>
      </c>
    </row>
    <row r="36" spans="1:18" s="10" customFormat="1" ht="151.5" customHeight="1" thickBot="1">
      <c r="A36" s="294" t="s">
        <v>117</v>
      </c>
      <c r="B36" s="295"/>
      <c r="C36" s="296"/>
      <c r="D36" s="297" t="s">
        <v>69</v>
      </c>
      <c r="E36" s="298"/>
      <c r="F36" s="297" t="s">
        <v>118</v>
      </c>
      <c r="G36" s="299"/>
      <c r="H36" s="299"/>
      <c r="I36" s="299"/>
      <c r="J36" s="298"/>
      <c r="K36" s="300" t="s">
        <v>119</v>
      </c>
      <c r="L36" s="301"/>
      <c r="M36" s="302"/>
      <c r="N36" s="105">
        <v>10</v>
      </c>
      <c r="R36" s="10">
        <v>1033170</v>
      </c>
    </row>
    <row r="37" spans="1:18" ht="15">
      <c r="A37" s="6"/>
      <c r="B37" s="36"/>
      <c r="C37" s="36"/>
      <c r="D37" s="36"/>
      <c r="E37" s="36"/>
      <c r="F37" s="36"/>
      <c r="G37" s="36"/>
      <c r="H37" s="36"/>
      <c r="I37" s="37"/>
      <c r="J37" s="36"/>
      <c r="K37" s="185"/>
      <c r="L37" s="36"/>
      <c r="M37" s="36"/>
      <c r="N37" s="39"/>
      <c r="R37" s="1">
        <v>1273259</v>
      </c>
    </row>
    <row r="38" spans="1:14" ht="15.75" thickBot="1">
      <c r="A38" s="6"/>
      <c r="B38" s="36"/>
      <c r="C38" s="36"/>
      <c r="D38" s="36"/>
      <c r="E38" s="36"/>
      <c r="F38" s="36"/>
      <c r="G38" s="36"/>
      <c r="H38" s="36"/>
      <c r="I38" s="37"/>
      <c r="J38" s="36"/>
      <c r="K38" s="38"/>
      <c r="L38" s="36"/>
      <c r="M38" s="36"/>
      <c r="N38" s="39"/>
    </row>
    <row r="39" spans="1:14" ht="19.5" thickBot="1">
      <c r="A39" s="303" t="s">
        <v>26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5"/>
    </row>
    <row r="40" spans="1:16" s="10" customFormat="1" ht="45.75" thickBot="1">
      <c r="A40" s="306" t="s">
        <v>27</v>
      </c>
      <c r="B40" s="307"/>
      <c r="C40" s="308"/>
      <c r="D40" s="11" t="s">
        <v>28</v>
      </c>
      <c r="E40" s="309" t="s">
        <v>29</v>
      </c>
      <c r="F40" s="310"/>
      <c r="G40" s="309" t="s">
        <v>30</v>
      </c>
      <c r="H40" s="310"/>
      <c r="I40" s="274" t="s">
        <v>94</v>
      </c>
      <c r="J40" s="308"/>
      <c r="K40" s="274" t="s">
        <v>31</v>
      </c>
      <c r="L40" s="307"/>
      <c r="M40" s="274" t="s">
        <v>32</v>
      </c>
      <c r="N40" s="275"/>
      <c r="P40" s="23"/>
    </row>
    <row r="41" spans="1:16" s="10" customFormat="1" ht="15" customHeight="1" thickBot="1">
      <c r="A41" s="276" t="s">
        <v>115</v>
      </c>
      <c r="B41" s="236"/>
      <c r="C41" s="277"/>
      <c r="D41" s="111">
        <v>28704.95</v>
      </c>
      <c r="E41" s="278">
        <v>1975</v>
      </c>
      <c r="F41" s="279"/>
      <c r="G41" s="280">
        <f>+D41-E41</f>
        <v>26729.95</v>
      </c>
      <c r="H41" s="281"/>
      <c r="I41" s="280" t="s">
        <v>100</v>
      </c>
      <c r="J41" s="280"/>
      <c r="K41" s="282">
        <f>SUM(G41:H42)</f>
        <v>26742.57</v>
      </c>
      <c r="L41" s="283"/>
      <c r="M41" s="282">
        <f>SUM(D41:D42)</f>
        <v>28717.57</v>
      </c>
      <c r="N41" s="288"/>
      <c r="P41" s="23"/>
    </row>
    <row r="42" spans="1:16" s="10" customFormat="1" ht="15" customHeight="1" thickBot="1">
      <c r="A42" s="276" t="s">
        <v>127</v>
      </c>
      <c r="B42" s="236"/>
      <c r="C42" s="277"/>
      <c r="D42" s="112">
        <v>12.62</v>
      </c>
      <c r="E42" s="291">
        <v>0</v>
      </c>
      <c r="F42" s="292"/>
      <c r="G42" s="269">
        <f>+D42-E42</f>
        <v>12.62</v>
      </c>
      <c r="H42" s="293"/>
      <c r="I42" s="268" t="str">
        <f>IF(G42&gt;0,IF(G42&gt;3645.58,"CUMPLE","NO CUMPLE"),"")</f>
        <v>NO CUMPLE</v>
      </c>
      <c r="J42" s="269"/>
      <c r="K42" s="284"/>
      <c r="L42" s="285"/>
      <c r="M42" s="284"/>
      <c r="N42" s="289"/>
      <c r="P42" s="23"/>
    </row>
    <row r="43" spans="1:16" s="10" customFormat="1" ht="15.75" thickBot="1">
      <c r="A43" s="236"/>
      <c r="B43" s="236"/>
      <c r="C43" s="236"/>
      <c r="D43" s="113"/>
      <c r="E43" s="270"/>
      <c r="F43" s="270"/>
      <c r="G43" s="270"/>
      <c r="H43" s="270"/>
      <c r="I43" s="270"/>
      <c r="J43" s="270"/>
      <c r="K43" s="286"/>
      <c r="L43" s="287"/>
      <c r="M43" s="286"/>
      <c r="N43" s="290"/>
      <c r="P43" s="23"/>
    </row>
    <row r="44" spans="1:14" ht="36.75" customHeight="1">
      <c r="A44" s="98">
        <v>1</v>
      </c>
      <c r="B44" s="271" t="s">
        <v>95</v>
      </c>
      <c r="C44" s="272"/>
      <c r="D44" s="272"/>
      <c r="E44" s="272"/>
      <c r="F44" s="272"/>
      <c r="G44" s="272"/>
      <c r="H44" s="272"/>
      <c r="I44" s="273">
        <f>+PARAMETROS!F13</f>
        <v>9754.997825242719</v>
      </c>
      <c r="J44" s="273"/>
      <c r="K44" s="264"/>
      <c r="L44" s="265"/>
      <c r="M44" s="266" t="s">
        <v>20</v>
      </c>
      <c r="N44" s="267"/>
    </row>
    <row r="45" spans="1:14" ht="32.25" customHeight="1">
      <c r="A45" s="12">
        <v>2</v>
      </c>
      <c r="B45" s="252" t="s">
        <v>96</v>
      </c>
      <c r="C45" s="253"/>
      <c r="D45" s="253"/>
      <c r="E45" s="253"/>
      <c r="F45" s="253"/>
      <c r="G45" s="253"/>
      <c r="H45" s="253"/>
      <c r="I45" s="254">
        <f>+PARAMETROS!F12</f>
        <v>6503.331883495146</v>
      </c>
      <c r="J45" s="254"/>
      <c r="K45" s="255" t="s">
        <v>20</v>
      </c>
      <c r="L45" s="255"/>
      <c r="M45" s="256"/>
      <c r="N45" s="257"/>
    </row>
    <row r="46" spans="1:14" ht="39.75" customHeight="1">
      <c r="A46" s="12">
        <v>3</v>
      </c>
      <c r="B46" s="252" t="s">
        <v>65</v>
      </c>
      <c r="C46" s="253"/>
      <c r="D46" s="253"/>
      <c r="E46" s="253"/>
      <c r="F46" s="253"/>
      <c r="G46" s="253"/>
      <c r="H46" s="253"/>
      <c r="I46" s="254">
        <f>+I44*50%</f>
        <v>4877.4989126213595</v>
      </c>
      <c r="J46" s="254"/>
      <c r="K46" s="255"/>
      <c r="L46" s="255"/>
      <c r="M46" s="256" t="s">
        <v>20</v>
      </c>
      <c r="N46" s="257"/>
    </row>
    <row r="47" spans="1:14" ht="36.75" customHeight="1" thickBot="1">
      <c r="A47" s="13">
        <v>4</v>
      </c>
      <c r="B47" s="258" t="s">
        <v>66</v>
      </c>
      <c r="C47" s="259"/>
      <c r="D47" s="259"/>
      <c r="E47" s="259"/>
      <c r="F47" s="259"/>
      <c r="G47" s="259"/>
      <c r="H47" s="259"/>
      <c r="I47" s="260">
        <f>+I45*50%</f>
        <v>3251.665941747573</v>
      </c>
      <c r="J47" s="260"/>
      <c r="K47" s="261" t="s">
        <v>20</v>
      </c>
      <c r="L47" s="261"/>
      <c r="M47" s="262"/>
      <c r="N47" s="263"/>
    </row>
    <row r="49" s="16" customFormat="1" ht="15">
      <c r="P49" s="25"/>
    </row>
    <row r="50" spans="16:23" s="16" customFormat="1" ht="15">
      <c r="P50" s="25"/>
      <c r="R50" s="109">
        <v>17634.83</v>
      </c>
      <c r="S50" s="109">
        <v>3654.94</v>
      </c>
      <c r="T50" s="104">
        <v>0.68</v>
      </c>
      <c r="U50" s="109">
        <f>+R50*T50</f>
        <v>11991.684400000002</v>
      </c>
      <c r="V50" s="109">
        <f>+S50*T50</f>
        <v>2485.3592000000003</v>
      </c>
      <c r="W50" s="109">
        <f>+U50-V50</f>
        <v>9506.325200000001</v>
      </c>
    </row>
    <row r="51" spans="18:23" ht="15">
      <c r="R51" s="110"/>
      <c r="S51" s="110"/>
      <c r="T51" s="104"/>
      <c r="U51" s="109"/>
      <c r="V51" s="109"/>
      <c r="W51" s="109"/>
    </row>
    <row r="52" spans="1:23" ht="15">
      <c r="A52" s="14" t="s">
        <v>133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/>
      <c r="M52" s="17"/>
      <c r="N52" s="18"/>
      <c r="R52" s="110">
        <v>776.63</v>
      </c>
      <c r="S52" s="110">
        <v>0</v>
      </c>
      <c r="T52" s="104">
        <v>0.165</v>
      </c>
      <c r="U52" s="109">
        <f>+R52*T52</f>
        <v>128.14395000000002</v>
      </c>
      <c r="V52" s="109">
        <f>+S52*T52</f>
        <v>0</v>
      </c>
      <c r="W52" s="109">
        <f>+U52-V52</f>
        <v>128.14395000000002</v>
      </c>
    </row>
    <row r="53" spans="1:23" ht="15">
      <c r="A53" s="19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7"/>
      <c r="M53" s="17"/>
      <c r="N53" s="18"/>
      <c r="R53" s="110">
        <v>2394.97</v>
      </c>
      <c r="S53" s="110">
        <v>0</v>
      </c>
      <c r="T53" s="104">
        <v>0.25</v>
      </c>
      <c r="U53" s="109">
        <f>+R53*T53</f>
        <v>598.7425</v>
      </c>
      <c r="V53" s="109">
        <f>+S53*T53</f>
        <v>0</v>
      </c>
      <c r="W53" s="109">
        <f>+U53-V53</f>
        <v>598.7425</v>
      </c>
    </row>
    <row r="54" spans="1:23" ht="15">
      <c r="A54" s="19"/>
      <c r="B54" s="15"/>
      <c r="C54" s="244" t="s">
        <v>134</v>
      </c>
      <c r="D54" s="244"/>
      <c r="E54" s="16"/>
      <c r="F54" s="244" t="s">
        <v>135</v>
      </c>
      <c r="G54" s="244"/>
      <c r="H54" s="16"/>
      <c r="I54" s="16"/>
      <c r="J54" s="244" t="s">
        <v>136</v>
      </c>
      <c r="K54" s="244"/>
      <c r="L54" s="244"/>
      <c r="M54" s="17"/>
      <c r="N54" s="18"/>
      <c r="T54" s="104"/>
      <c r="U54" s="109"/>
      <c r="V54" s="109"/>
      <c r="W54" s="109">
        <f>SUM(W50:W53)</f>
        <v>10233.211650000001</v>
      </c>
    </row>
    <row r="55" spans="1:22" ht="15">
      <c r="A55" s="19"/>
      <c r="B55" s="15"/>
      <c r="C55" s="244" t="s">
        <v>130</v>
      </c>
      <c r="D55" s="244"/>
      <c r="E55" s="16"/>
      <c r="F55" s="244" t="s">
        <v>131</v>
      </c>
      <c r="G55" s="244"/>
      <c r="H55" s="16"/>
      <c r="I55" s="16"/>
      <c r="J55" s="244" t="s">
        <v>132</v>
      </c>
      <c r="K55" s="244"/>
      <c r="L55" s="244"/>
      <c r="M55" s="17"/>
      <c r="N55" s="18"/>
      <c r="T55" s="104"/>
      <c r="U55" s="16"/>
      <c r="V55" s="16"/>
    </row>
    <row r="56" spans="1:22" ht="15">
      <c r="A56" s="19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7"/>
      <c r="M56" s="17"/>
      <c r="N56" s="18"/>
      <c r="T56" s="104"/>
      <c r="U56" s="16"/>
      <c r="V56" s="16"/>
    </row>
    <row r="57" ht="15">
      <c r="H57" s="16"/>
    </row>
    <row r="60" spans="18:23" ht="15">
      <c r="R60" s="109">
        <v>20120.72</v>
      </c>
      <c r="S60" s="109">
        <v>12682.75</v>
      </c>
      <c r="T60" s="104">
        <v>1</v>
      </c>
      <c r="U60" s="109">
        <f>+R60*T60</f>
        <v>20120.72</v>
      </c>
      <c r="V60" s="109">
        <f>+S60*T60</f>
        <v>12682.75</v>
      </c>
      <c r="W60" s="109">
        <f>+U60-V60</f>
        <v>7437.970000000001</v>
      </c>
    </row>
    <row r="61" spans="18:23" ht="15">
      <c r="R61" s="109">
        <v>1216.68</v>
      </c>
      <c r="S61" s="109">
        <v>202.44</v>
      </c>
      <c r="T61" s="104">
        <v>0.5</v>
      </c>
      <c r="U61" s="109">
        <f>+R61*T61</f>
        <v>608.34</v>
      </c>
      <c r="V61" s="109">
        <f>+S61*T61</f>
        <v>101.22</v>
      </c>
      <c r="W61" s="109">
        <f>+U61-V61</f>
        <v>507.12</v>
      </c>
    </row>
    <row r="62" spans="18:23" ht="15">
      <c r="R62" s="16"/>
      <c r="S62" s="16"/>
      <c r="T62" s="104"/>
      <c r="U62" s="109"/>
      <c r="V62" s="109"/>
      <c r="W62" s="109">
        <f>SUM(W60:W61)</f>
        <v>7945.090000000001</v>
      </c>
    </row>
    <row r="64" spans="3:8" ht="15">
      <c r="C64" s="16">
        <v>485</v>
      </c>
      <c r="D64" s="16">
        <v>485</v>
      </c>
      <c r="E64" s="182">
        <v>1</v>
      </c>
      <c r="F64" s="17">
        <f>+C64*E64</f>
        <v>485</v>
      </c>
      <c r="G64" s="18">
        <f>+D64*E64</f>
        <v>485</v>
      </c>
      <c r="H64" s="183">
        <f>+F64-G64</f>
        <v>0</v>
      </c>
    </row>
    <row r="65" spans="3:8" ht="15">
      <c r="C65" s="16">
        <v>664</v>
      </c>
      <c r="D65" s="16">
        <v>664</v>
      </c>
      <c r="E65" s="182">
        <v>1</v>
      </c>
      <c r="F65" s="17">
        <f>+C65*E65</f>
        <v>664</v>
      </c>
      <c r="G65" s="18">
        <f>+D65*E65</f>
        <v>664</v>
      </c>
      <c r="H65" s="183">
        <f>+F65-G65</f>
        <v>0</v>
      </c>
    </row>
    <row r="66" spans="3:8" ht="15">
      <c r="C66" s="16">
        <v>679</v>
      </c>
      <c r="D66" s="16">
        <v>679</v>
      </c>
      <c r="E66" s="182">
        <v>1</v>
      </c>
      <c r="F66" s="17">
        <f>+C66*E66</f>
        <v>679</v>
      </c>
      <c r="G66" s="18">
        <f>+D66*E66</f>
        <v>679</v>
      </c>
      <c r="H66" s="183">
        <f>+F66-G66</f>
        <v>0</v>
      </c>
    </row>
    <row r="67" spans="3:8" ht="15">
      <c r="C67" s="16">
        <v>147</v>
      </c>
      <c r="D67" s="16">
        <v>147</v>
      </c>
      <c r="E67" s="182">
        <v>1</v>
      </c>
      <c r="F67" s="17">
        <f>+C67*E67</f>
        <v>147</v>
      </c>
      <c r="G67" s="18">
        <f>+D67*E67</f>
        <v>147</v>
      </c>
      <c r="H67" s="183">
        <f>+F67-G67</f>
        <v>0</v>
      </c>
    </row>
    <row r="68" ht="15">
      <c r="G68" s="161">
        <f>SUM(G64:G67)</f>
        <v>1975</v>
      </c>
    </row>
  </sheetData>
  <sheetProtection/>
  <mergeCells count="91">
    <mergeCell ref="A1:N1"/>
    <mergeCell ref="A2:N3"/>
    <mergeCell ref="C5:E5"/>
    <mergeCell ref="G5:H5"/>
    <mergeCell ref="I5:J5"/>
    <mergeCell ref="A6:B7"/>
    <mergeCell ref="C6:E6"/>
    <mergeCell ref="G6:H6"/>
    <mergeCell ref="I6:J6"/>
    <mergeCell ref="C7:E7"/>
    <mergeCell ref="G7:H7"/>
    <mergeCell ref="I7:J7"/>
    <mergeCell ref="A9:N9"/>
    <mergeCell ref="A10:A11"/>
    <mergeCell ref="B10:B11"/>
    <mergeCell ref="C10:C11"/>
    <mergeCell ref="D10:D11"/>
    <mergeCell ref="E10:E11"/>
    <mergeCell ref="M10:N10"/>
    <mergeCell ref="I15:J15"/>
    <mergeCell ref="M15:N17"/>
    <mergeCell ref="B16:F16"/>
    <mergeCell ref="I16:I17"/>
    <mergeCell ref="J16:J17"/>
    <mergeCell ref="K16:K17"/>
    <mergeCell ref="L16:L17"/>
    <mergeCell ref="A17:H17"/>
    <mergeCell ref="A18:H18"/>
    <mergeCell ref="I18:J19"/>
    <mergeCell ref="K18:L19"/>
    <mergeCell ref="M18:N19"/>
    <mergeCell ref="A34:N34"/>
    <mergeCell ref="A35:C35"/>
    <mergeCell ref="D35:E35"/>
    <mergeCell ref="F35:J35"/>
    <mergeCell ref="K35:M35"/>
    <mergeCell ref="C25:D25"/>
    <mergeCell ref="A36:C36"/>
    <mergeCell ref="D36:E36"/>
    <mergeCell ref="F36:J36"/>
    <mergeCell ref="K36:M36"/>
    <mergeCell ref="A39:N39"/>
    <mergeCell ref="A40:C40"/>
    <mergeCell ref="E40:F40"/>
    <mergeCell ref="G40:H40"/>
    <mergeCell ref="I40:J40"/>
    <mergeCell ref="K40:L40"/>
    <mergeCell ref="M40:N40"/>
    <mergeCell ref="A41:C41"/>
    <mergeCell ref="E41:F41"/>
    <mergeCell ref="G41:H41"/>
    <mergeCell ref="I41:J41"/>
    <mergeCell ref="K41:L43"/>
    <mergeCell ref="M41:N43"/>
    <mergeCell ref="A42:C42"/>
    <mergeCell ref="E42:F42"/>
    <mergeCell ref="G42:H42"/>
    <mergeCell ref="M45:N45"/>
    <mergeCell ref="I42:J42"/>
    <mergeCell ref="A43:C43"/>
    <mergeCell ref="E43:F43"/>
    <mergeCell ref="G43:H43"/>
    <mergeCell ref="I43:J43"/>
    <mergeCell ref="B44:H44"/>
    <mergeCell ref="I44:J44"/>
    <mergeCell ref="M46:N46"/>
    <mergeCell ref="B47:H47"/>
    <mergeCell ref="I47:J47"/>
    <mergeCell ref="K47:L47"/>
    <mergeCell ref="M47:N47"/>
    <mergeCell ref="K44:L44"/>
    <mergeCell ref="M44:N44"/>
    <mergeCell ref="B45:H45"/>
    <mergeCell ref="I45:J45"/>
    <mergeCell ref="K45:L45"/>
    <mergeCell ref="J55:L55"/>
    <mergeCell ref="F55:G55"/>
    <mergeCell ref="C55:D55"/>
    <mergeCell ref="A32:N33"/>
    <mergeCell ref="C54:D54"/>
    <mergeCell ref="F54:G54"/>
    <mergeCell ref="J54:L54"/>
    <mergeCell ref="B46:H46"/>
    <mergeCell ref="I46:J46"/>
    <mergeCell ref="K46:L46"/>
    <mergeCell ref="F25:G25"/>
    <mergeCell ref="J25:L25"/>
    <mergeCell ref="C26:D26"/>
    <mergeCell ref="F26:G26"/>
    <mergeCell ref="J26:L26"/>
    <mergeCell ref="A31:N31"/>
  </mergeCells>
  <printOptions/>
  <pageMargins left="0.4" right="0.17" top="0.7" bottom="0.26" header="1.07" footer="1.62"/>
  <pageSetup horizontalDpi="300" verticalDpi="300" orientation="landscape" paperSize="14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W83"/>
  <sheetViews>
    <sheetView zoomScale="60" zoomScaleNormal="60" zoomScalePageLayoutView="0" workbookViewId="0" topLeftCell="A1">
      <selection activeCell="A1" sqref="A1:N29"/>
    </sheetView>
  </sheetViews>
  <sheetFormatPr defaultColWidth="11.421875" defaultRowHeight="15"/>
  <cols>
    <col min="1" max="1" width="6.140625" style="1" customWidth="1"/>
    <col min="2" max="2" width="21.00390625" style="1" customWidth="1"/>
    <col min="3" max="3" width="22.140625" style="1" bestFit="1" customWidth="1"/>
    <col min="4" max="4" width="21.421875" style="1" customWidth="1"/>
    <col min="5" max="5" width="11.57421875" style="1" customWidth="1"/>
    <col min="6" max="6" width="19.140625" style="1" customWidth="1"/>
    <col min="7" max="7" width="11.421875" style="1" customWidth="1"/>
    <col min="8" max="8" width="14.28125" style="1" customWidth="1"/>
    <col min="9" max="9" width="24.57421875" style="2" customWidth="1"/>
    <col min="10" max="10" width="14.57421875" style="1" customWidth="1"/>
    <col min="11" max="11" width="13.00390625" style="3" customWidth="1"/>
    <col min="12" max="12" width="12.7109375" style="1" customWidth="1"/>
    <col min="13" max="13" width="12.8515625" style="1" customWidth="1"/>
    <col min="14" max="14" width="17.57421875" style="3" customWidth="1"/>
    <col min="15" max="15" width="12.8515625" style="1" bestFit="1" customWidth="1"/>
    <col min="16" max="16" width="12.28125" style="23" bestFit="1" customWidth="1"/>
    <col min="17" max="17" width="11.421875" style="1" customWidth="1"/>
    <col min="18" max="18" width="12.421875" style="1" bestFit="1" customWidth="1"/>
    <col min="19" max="19" width="11.421875" style="1" customWidth="1"/>
    <col min="20" max="20" width="26.57421875" style="1" customWidth="1"/>
    <col min="21" max="21" width="11.421875" style="1" customWidth="1"/>
    <col min="22" max="22" width="10.8515625" style="1" bestFit="1" customWidth="1"/>
    <col min="23" max="16384" width="11.421875" style="1" customWidth="1"/>
  </cols>
  <sheetData>
    <row r="1" spans="1:14" ht="18.75" customHeight="1">
      <c r="A1" s="245" t="s">
        <v>72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15" customHeight="1">
      <c r="A2" s="246" t="s">
        <v>73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20" ht="21" customHeight="1">
      <c r="A3" s="249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1"/>
      <c r="T3" s="1">
        <f>2307013684-231770224</f>
        <v>2075243460</v>
      </c>
    </row>
    <row r="4" ht="15.75" thickBot="1"/>
    <row r="5" spans="1:10" ht="24.75" customHeight="1" thickBot="1">
      <c r="A5" s="52" t="s">
        <v>0</v>
      </c>
      <c r="B5" s="53"/>
      <c r="C5" s="348" t="s">
        <v>75</v>
      </c>
      <c r="D5" s="349"/>
      <c r="E5" s="349"/>
      <c r="F5" s="54" t="s">
        <v>1</v>
      </c>
      <c r="G5" s="350" t="s">
        <v>2</v>
      </c>
      <c r="H5" s="351"/>
      <c r="I5" s="350" t="s">
        <v>42</v>
      </c>
      <c r="J5" s="351"/>
    </row>
    <row r="6" spans="1:10" ht="15.75" thickBot="1">
      <c r="A6" s="352" t="s">
        <v>3</v>
      </c>
      <c r="B6" s="353"/>
      <c r="C6" s="276" t="s">
        <v>101</v>
      </c>
      <c r="D6" s="236"/>
      <c r="E6" s="277"/>
      <c r="F6" s="97">
        <v>0.6</v>
      </c>
      <c r="G6" s="340" t="s">
        <v>61</v>
      </c>
      <c r="H6" s="341"/>
      <c r="I6" s="340" t="s">
        <v>20</v>
      </c>
      <c r="J6" s="341"/>
    </row>
    <row r="7" spans="1:10" ht="15.75" thickBot="1">
      <c r="A7" s="354" t="s">
        <v>3</v>
      </c>
      <c r="B7" s="355"/>
      <c r="C7" s="276" t="s">
        <v>102</v>
      </c>
      <c r="D7" s="236"/>
      <c r="E7" s="277"/>
      <c r="F7" s="97">
        <v>0.4</v>
      </c>
      <c r="G7" s="340" t="s">
        <v>61</v>
      </c>
      <c r="H7" s="341"/>
      <c r="I7" s="340" t="s">
        <v>20</v>
      </c>
      <c r="J7" s="341"/>
    </row>
    <row r="8" spans="1:16" s="47" customFormat="1" ht="15.75" thickBot="1">
      <c r="A8" s="94"/>
      <c r="B8" s="95"/>
      <c r="C8" s="96"/>
      <c r="D8" s="55"/>
      <c r="E8" s="55"/>
      <c r="F8" s="50"/>
      <c r="G8" s="46"/>
      <c r="H8" s="46"/>
      <c r="I8" s="46"/>
      <c r="J8" s="46"/>
      <c r="K8" s="51"/>
      <c r="N8" s="48"/>
      <c r="P8" s="49"/>
    </row>
    <row r="9" spans="1:14" ht="19.5" thickBot="1">
      <c r="A9" s="303" t="s">
        <v>4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5"/>
    </row>
    <row r="10" spans="1:20" s="5" customFormat="1" ht="45">
      <c r="A10" s="342" t="s">
        <v>5</v>
      </c>
      <c r="B10" s="344" t="s">
        <v>6</v>
      </c>
      <c r="C10" s="344" t="s">
        <v>7</v>
      </c>
      <c r="D10" s="344" t="s">
        <v>3</v>
      </c>
      <c r="E10" s="344" t="s">
        <v>8</v>
      </c>
      <c r="F10" s="4" t="s">
        <v>9</v>
      </c>
      <c r="G10" s="4" t="s">
        <v>10</v>
      </c>
      <c r="H10" s="4" t="s">
        <v>11</v>
      </c>
      <c r="I10" s="86" t="s">
        <v>12</v>
      </c>
      <c r="J10" s="87" t="s">
        <v>13</v>
      </c>
      <c r="K10" s="88" t="s">
        <v>34</v>
      </c>
      <c r="L10" s="87" t="s">
        <v>91</v>
      </c>
      <c r="M10" s="346" t="s">
        <v>14</v>
      </c>
      <c r="N10" s="347"/>
      <c r="P10" s="24"/>
      <c r="R10" s="5">
        <v>25450264</v>
      </c>
      <c r="T10" s="116">
        <v>2307013684</v>
      </c>
    </row>
    <row r="11" spans="1:20" s="5" customFormat="1" ht="15.75" thickBot="1">
      <c r="A11" s="343"/>
      <c r="B11" s="345"/>
      <c r="C11" s="345"/>
      <c r="D11" s="345"/>
      <c r="E11" s="345"/>
      <c r="F11" s="117">
        <v>1</v>
      </c>
      <c r="G11" s="117">
        <v>2</v>
      </c>
      <c r="H11" s="117">
        <v>3</v>
      </c>
      <c r="I11" s="118">
        <v>4</v>
      </c>
      <c r="J11" s="118">
        <v>5</v>
      </c>
      <c r="K11" s="119" t="s">
        <v>15</v>
      </c>
      <c r="L11" s="118">
        <v>6</v>
      </c>
      <c r="M11" s="118">
        <v>7</v>
      </c>
      <c r="N11" s="120">
        <v>8</v>
      </c>
      <c r="P11" s="24"/>
      <c r="R11" s="5">
        <v>32528257</v>
      </c>
      <c r="T11" s="61"/>
    </row>
    <row r="12" spans="1:18" ht="57" customHeight="1" thickBot="1">
      <c r="A12" s="150">
        <v>1</v>
      </c>
      <c r="B12" s="152" t="s">
        <v>105</v>
      </c>
      <c r="C12" s="187" t="s">
        <v>104</v>
      </c>
      <c r="D12" s="1" t="s">
        <v>104</v>
      </c>
      <c r="E12" s="169">
        <v>1</v>
      </c>
      <c r="F12" s="154">
        <v>1</v>
      </c>
      <c r="G12" s="170">
        <v>39031</v>
      </c>
      <c r="H12" s="170">
        <v>39303</v>
      </c>
      <c r="I12" s="171">
        <v>4600000000</v>
      </c>
      <c r="J12" s="157">
        <f>I12/PARAMETROS!B26</f>
        <v>9257.39585429664</v>
      </c>
      <c r="K12" s="157">
        <f>+F12*J12</f>
        <v>9257.39585429664</v>
      </c>
      <c r="L12" s="158" t="s">
        <v>20</v>
      </c>
      <c r="M12" s="159" t="s">
        <v>62</v>
      </c>
      <c r="N12" s="160" t="s">
        <v>20</v>
      </c>
      <c r="R12" s="1">
        <v>71150968</v>
      </c>
    </row>
    <row r="13" spans="1:20" ht="75.75" customHeight="1" thickBot="1">
      <c r="A13" s="150">
        <v>2</v>
      </c>
      <c r="B13" s="151" t="s">
        <v>106</v>
      </c>
      <c r="C13" s="152" t="s">
        <v>110</v>
      </c>
      <c r="D13" s="152" t="s">
        <v>107</v>
      </c>
      <c r="E13" s="169">
        <v>0.7</v>
      </c>
      <c r="F13" s="154">
        <v>0.7</v>
      </c>
      <c r="G13" s="155">
        <v>39444</v>
      </c>
      <c r="H13" s="155">
        <v>39595</v>
      </c>
      <c r="I13" s="156">
        <v>1472890639</v>
      </c>
      <c r="J13" s="157">
        <f>I13/PARAMETROS!B24</f>
        <v>3396.104770578741</v>
      </c>
      <c r="K13" s="157">
        <f>+E13*J13</f>
        <v>2377.2733394051183</v>
      </c>
      <c r="L13" s="158" t="s">
        <v>20</v>
      </c>
      <c r="M13" s="159" t="s">
        <v>62</v>
      </c>
      <c r="N13" s="160" t="s">
        <v>20</v>
      </c>
      <c r="R13" s="1">
        <v>1033170</v>
      </c>
      <c r="T13" s="116" t="e">
        <f>+I13-#REF!</f>
        <v>#REF!</v>
      </c>
    </row>
    <row r="14" spans="1:20" ht="69.75" customHeight="1" thickBot="1">
      <c r="A14" s="150">
        <v>3</v>
      </c>
      <c r="B14" s="173" t="s">
        <v>108</v>
      </c>
      <c r="C14" s="186" t="s">
        <v>111</v>
      </c>
      <c r="D14" s="152" t="s">
        <v>109</v>
      </c>
      <c r="E14" s="169">
        <v>0.5</v>
      </c>
      <c r="F14" s="154">
        <v>0.5</v>
      </c>
      <c r="G14" s="155">
        <v>39385</v>
      </c>
      <c r="H14" s="155">
        <v>39618</v>
      </c>
      <c r="I14" s="156">
        <v>1383375857.84</v>
      </c>
      <c r="J14" s="157">
        <f>I14/PARAMETROS!B23</f>
        <v>3390.6271025490196</v>
      </c>
      <c r="K14" s="164">
        <f>+F14*J14</f>
        <v>1695.3135512745098</v>
      </c>
      <c r="L14" s="158" t="s">
        <v>20</v>
      </c>
      <c r="M14" s="159" t="s">
        <v>62</v>
      </c>
      <c r="N14" s="160" t="s">
        <v>20</v>
      </c>
      <c r="R14" s="1">
        <v>280000</v>
      </c>
      <c r="T14" s="61" t="e">
        <f>SUM(#REF!)</f>
        <v>#REF!</v>
      </c>
    </row>
    <row r="15" spans="1:18" ht="15">
      <c r="A15" s="146" t="s">
        <v>17</v>
      </c>
      <c r="B15" s="36"/>
      <c r="C15" s="36"/>
      <c r="D15" s="36"/>
      <c r="E15" s="36"/>
      <c r="F15" s="36"/>
      <c r="G15" s="36"/>
      <c r="H15" s="147"/>
      <c r="I15" s="326" t="s">
        <v>18</v>
      </c>
      <c r="J15" s="327"/>
      <c r="K15" s="148">
        <f>SUM(K12:K14)</f>
        <v>13329.982744976267</v>
      </c>
      <c r="L15" s="149" t="s">
        <v>16</v>
      </c>
      <c r="M15" s="328"/>
      <c r="N15" s="329"/>
      <c r="R15" s="1">
        <v>1273259</v>
      </c>
    </row>
    <row r="16" spans="1:18" ht="27.75" customHeight="1">
      <c r="A16" s="108" t="s">
        <v>62</v>
      </c>
      <c r="B16" s="312" t="s">
        <v>93</v>
      </c>
      <c r="C16" s="312"/>
      <c r="D16" s="312"/>
      <c r="E16" s="312"/>
      <c r="F16" s="312"/>
      <c r="G16" s="114">
        <f>+PARAMETROS!B4</f>
        <v>3251.665941747573</v>
      </c>
      <c r="H16" s="115" t="s">
        <v>16</v>
      </c>
      <c r="I16" s="332" t="s">
        <v>19</v>
      </c>
      <c r="J16" s="334">
        <f>PARAMETROS!B6</f>
        <v>6503.331883495146</v>
      </c>
      <c r="K16" s="336">
        <f>+K15-J16</f>
        <v>6826.650861481121</v>
      </c>
      <c r="L16" s="338" t="s">
        <v>16</v>
      </c>
      <c r="M16" s="328"/>
      <c r="N16" s="329"/>
      <c r="R16" s="1">
        <v>3178308</v>
      </c>
    </row>
    <row r="17" spans="1:18" ht="31.5" customHeight="1" thickBot="1">
      <c r="A17" s="311"/>
      <c r="B17" s="312"/>
      <c r="C17" s="312"/>
      <c r="D17" s="312"/>
      <c r="E17" s="312"/>
      <c r="F17" s="312"/>
      <c r="G17" s="312"/>
      <c r="H17" s="313"/>
      <c r="I17" s="333"/>
      <c r="J17" s="335"/>
      <c r="K17" s="337"/>
      <c r="L17" s="339"/>
      <c r="M17" s="330"/>
      <c r="N17" s="331"/>
      <c r="R17" s="1">
        <v>516585</v>
      </c>
    </row>
    <row r="18" spans="1:20" ht="30.75" customHeight="1">
      <c r="A18" s="311"/>
      <c r="B18" s="312"/>
      <c r="C18" s="312"/>
      <c r="D18" s="312"/>
      <c r="E18" s="312"/>
      <c r="F18" s="312"/>
      <c r="G18" s="312"/>
      <c r="H18" s="313"/>
      <c r="I18" s="314" t="s">
        <v>21</v>
      </c>
      <c r="J18" s="315"/>
      <c r="K18" s="365">
        <f>IF(K16&lt;0,"",IF(ROUND(+K16/PARAMETROS!B7,0)&gt;3,150,ROUNDDOWN(+K16/PARAMETROS!B7,0)*30))</f>
        <v>150</v>
      </c>
      <c r="L18" s="366"/>
      <c r="M18" s="322" t="str">
        <f>IF(K15&gt;J16,"CUMPLE","NO CUMPLE")</f>
        <v>CUMPLE</v>
      </c>
      <c r="N18" s="323"/>
      <c r="R18" s="1">
        <v>1273259</v>
      </c>
      <c r="T18" s="161" t="e">
        <f>T10-#REF!</f>
        <v>#REF!</v>
      </c>
    </row>
    <row r="19" spans="1:18" ht="15.75" thickBot="1">
      <c r="A19" s="6"/>
      <c r="B19" s="36"/>
      <c r="C19" s="36"/>
      <c r="D19" s="36"/>
      <c r="E19" s="36"/>
      <c r="F19" s="36"/>
      <c r="G19" s="36"/>
      <c r="H19" s="147"/>
      <c r="I19" s="316"/>
      <c r="J19" s="317"/>
      <c r="K19" s="367"/>
      <c r="L19" s="368"/>
      <c r="M19" s="324"/>
      <c r="N19" s="325"/>
      <c r="R19" s="1">
        <v>3314046</v>
      </c>
    </row>
    <row r="20" spans="9:16" s="36" customFormat="1" ht="21">
      <c r="I20" s="190"/>
      <c r="J20" s="190"/>
      <c r="K20" s="194"/>
      <c r="L20" s="194"/>
      <c r="M20" s="192"/>
      <c r="N20" s="192"/>
      <c r="P20" s="195"/>
    </row>
    <row r="21" spans="9:16" s="36" customFormat="1" ht="21">
      <c r="I21" s="190"/>
      <c r="J21" s="190"/>
      <c r="K21" s="194"/>
      <c r="L21" s="194"/>
      <c r="M21" s="192"/>
      <c r="N21" s="192"/>
      <c r="P21" s="195"/>
    </row>
    <row r="22" spans="9:16" s="36" customFormat="1" ht="21">
      <c r="I22" s="190"/>
      <c r="J22" s="190"/>
      <c r="K22" s="194"/>
      <c r="L22" s="194"/>
      <c r="M22" s="192"/>
      <c r="N22" s="192"/>
      <c r="P22" s="195"/>
    </row>
    <row r="23" spans="1:14" ht="21">
      <c r="A23" s="36"/>
      <c r="B23" s="36"/>
      <c r="C23" s="36"/>
      <c r="D23" s="36"/>
      <c r="E23" s="36"/>
      <c r="F23" s="36"/>
      <c r="G23" s="36"/>
      <c r="H23" s="36"/>
      <c r="I23" s="190"/>
      <c r="J23" s="190"/>
      <c r="K23" s="194"/>
      <c r="L23" s="194"/>
      <c r="M23" s="192"/>
      <c r="N23" s="192"/>
    </row>
    <row r="24" spans="1:23" ht="15">
      <c r="A24" s="14" t="s">
        <v>133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7"/>
      <c r="N24" s="18"/>
      <c r="R24" s="110">
        <v>776.63</v>
      </c>
      <c r="S24" s="110">
        <v>0</v>
      </c>
      <c r="T24" s="104">
        <v>0.165</v>
      </c>
      <c r="U24" s="109">
        <f>+R24*T24</f>
        <v>128.14395000000002</v>
      </c>
      <c r="V24" s="109">
        <f>+S24*T24</f>
        <v>0</v>
      </c>
      <c r="W24" s="109">
        <f>+U24-V24</f>
        <v>128.14395000000002</v>
      </c>
    </row>
    <row r="25" spans="1:23" ht="15">
      <c r="A25" s="19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  <c r="N25" s="18"/>
      <c r="R25" s="110">
        <v>2394.97</v>
      </c>
      <c r="S25" s="110">
        <v>0</v>
      </c>
      <c r="T25" s="104">
        <v>0.25</v>
      </c>
      <c r="U25" s="109">
        <f>+R25*T25</f>
        <v>598.7425</v>
      </c>
      <c r="V25" s="109">
        <f>+S25*T25</f>
        <v>0</v>
      </c>
      <c r="W25" s="109">
        <f>+U25-V25</f>
        <v>598.7425</v>
      </c>
    </row>
    <row r="26" spans="1:23" ht="15">
      <c r="A26" s="19"/>
      <c r="B26" s="15"/>
      <c r="C26" s="244" t="s">
        <v>134</v>
      </c>
      <c r="D26" s="244"/>
      <c r="E26" s="16"/>
      <c r="F26" s="244" t="s">
        <v>135</v>
      </c>
      <c r="G26" s="244"/>
      <c r="H26" s="16"/>
      <c r="I26" s="16"/>
      <c r="J26" s="244" t="s">
        <v>136</v>
      </c>
      <c r="K26" s="244"/>
      <c r="L26" s="244"/>
      <c r="M26" s="17"/>
      <c r="N26" s="18"/>
      <c r="T26" s="104"/>
      <c r="U26" s="109"/>
      <c r="V26" s="109"/>
      <c r="W26" s="109">
        <f>SUM(W18:W25)</f>
        <v>726.88645</v>
      </c>
    </row>
    <row r="27" spans="1:22" ht="15">
      <c r="A27" s="19"/>
      <c r="B27" s="15"/>
      <c r="C27" s="244" t="s">
        <v>130</v>
      </c>
      <c r="D27" s="244"/>
      <c r="E27" s="16"/>
      <c r="F27" s="244" t="s">
        <v>131</v>
      </c>
      <c r="G27" s="244"/>
      <c r="H27" s="16"/>
      <c r="I27" s="16"/>
      <c r="J27" s="244" t="s">
        <v>132</v>
      </c>
      <c r="K27" s="244"/>
      <c r="L27" s="244"/>
      <c r="M27" s="17"/>
      <c r="N27" s="18"/>
      <c r="T27" s="104"/>
      <c r="U27" s="16"/>
      <c r="V27" s="16"/>
    </row>
    <row r="28" spans="1:22" ht="15">
      <c r="A28" s="19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8"/>
      <c r="T28" s="104"/>
      <c r="U28" s="16"/>
      <c r="V28" s="16"/>
    </row>
    <row r="29" spans="1:22" ht="15">
      <c r="A29" s="19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  <c r="N29" s="18"/>
      <c r="T29" s="104"/>
      <c r="U29" s="16"/>
      <c r="V29" s="16"/>
    </row>
    <row r="30" spans="1:14" ht="18.75" customHeight="1">
      <c r="A30" s="245" t="s">
        <v>72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</row>
    <row r="31" spans="1:14" ht="15" customHeight="1">
      <c r="A31" s="246" t="s">
        <v>73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8"/>
    </row>
    <row r="32" spans="1:20" ht="21" customHeight="1" thickBot="1">
      <c r="A32" s="249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1"/>
      <c r="T32" s="1">
        <f>2307013684-231770224</f>
        <v>2075243460</v>
      </c>
    </row>
    <row r="33" spans="1:18" ht="19.5" thickBot="1">
      <c r="A33" s="303" t="s">
        <v>70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5"/>
      <c r="R33" s="1">
        <v>516586</v>
      </c>
    </row>
    <row r="34" spans="1:18" s="10" customFormat="1" ht="15.75" thickBot="1">
      <c r="A34" s="369" t="s">
        <v>22</v>
      </c>
      <c r="B34" s="370"/>
      <c r="C34" s="370"/>
      <c r="D34" s="274" t="s">
        <v>23</v>
      </c>
      <c r="E34" s="308"/>
      <c r="F34" s="307" t="s">
        <v>24</v>
      </c>
      <c r="G34" s="307"/>
      <c r="H34" s="307"/>
      <c r="I34" s="307"/>
      <c r="J34" s="308"/>
      <c r="K34" s="370" t="s">
        <v>25</v>
      </c>
      <c r="L34" s="370"/>
      <c r="M34" s="274"/>
      <c r="N34" s="40" t="s">
        <v>21</v>
      </c>
      <c r="P34" s="23"/>
      <c r="R34" s="10">
        <v>9943264</v>
      </c>
    </row>
    <row r="35" spans="1:18" s="10" customFormat="1" ht="151.5" customHeight="1" thickBot="1">
      <c r="A35" s="294" t="s">
        <v>104</v>
      </c>
      <c r="B35" s="295"/>
      <c r="C35" s="296"/>
      <c r="D35" s="297" t="s">
        <v>112</v>
      </c>
      <c r="E35" s="298"/>
      <c r="F35" s="299" t="s">
        <v>113</v>
      </c>
      <c r="G35" s="299"/>
      <c r="H35" s="299"/>
      <c r="I35" s="299"/>
      <c r="J35" s="298"/>
      <c r="K35" s="362" t="s">
        <v>114</v>
      </c>
      <c r="L35" s="363"/>
      <c r="M35" s="364"/>
      <c r="N35" s="105">
        <v>10</v>
      </c>
      <c r="R35" s="10">
        <v>1033170</v>
      </c>
    </row>
    <row r="36" spans="1:18" ht="15">
      <c r="A36" s="6"/>
      <c r="B36" s="36"/>
      <c r="C36" s="36"/>
      <c r="D36" s="36"/>
      <c r="E36" s="36"/>
      <c r="F36" s="36"/>
      <c r="G36" s="36"/>
      <c r="H36" s="36"/>
      <c r="I36" s="37"/>
      <c r="J36" s="36"/>
      <c r="K36" s="38"/>
      <c r="L36" s="36"/>
      <c r="M36" s="36"/>
      <c r="N36" s="39"/>
      <c r="R36" s="1">
        <v>1273259</v>
      </c>
    </row>
    <row r="37" spans="1:14" ht="15.75" thickBot="1">
      <c r="A37" s="6"/>
      <c r="B37" s="36"/>
      <c r="C37" s="36"/>
      <c r="D37" s="36"/>
      <c r="E37" s="36"/>
      <c r="F37" s="36"/>
      <c r="G37" s="36"/>
      <c r="H37" s="36"/>
      <c r="I37" s="37"/>
      <c r="J37" s="36"/>
      <c r="K37" s="38"/>
      <c r="L37" s="36"/>
      <c r="M37" s="36"/>
      <c r="N37" s="39"/>
    </row>
    <row r="38" spans="1:14" ht="19.5" thickBot="1">
      <c r="A38" s="303" t="s">
        <v>26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5"/>
    </row>
    <row r="39" spans="1:16" s="10" customFormat="1" ht="45.75" thickBot="1">
      <c r="A39" s="306" t="s">
        <v>27</v>
      </c>
      <c r="B39" s="307"/>
      <c r="C39" s="308"/>
      <c r="D39" s="11" t="s">
        <v>28</v>
      </c>
      <c r="E39" s="309" t="s">
        <v>29</v>
      </c>
      <c r="F39" s="310"/>
      <c r="G39" s="309" t="s">
        <v>30</v>
      </c>
      <c r="H39" s="310"/>
      <c r="I39" s="274" t="s">
        <v>94</v>
      </c>
      <c r="J39" s="308"/>
      <c r="K39" s="274" t="s">
        <v>31</v>
      </c>
      <c r="L39" s="307"/>
      <c r="M39" s="274" t="s">
        <v>32</v>
      </c>
      <c r="N39" s="275"/>
      <c r="P39" s="23"/>
    </row>
    <row r="40" spans="1:16" s="10" customFormat="1" ht="15" customHeight="1">
      <c r="A40" s="356" t="s">
        <v>128</v>
      </c>
      <c r="B40" s="357"/>
      <c r="C40" s="358"/>
      <c r="D40" s="111">
        <v>27826.67</v>
      </c>
      <c r="E40" s="278">
        <v>607.08</v>
      </c>
      <c r="F40" s="279"/>
      <c r="G40" s="280">
        <f>+D40-E40</f>
        <v>27219.589999999997</v>
      </c>
      <c r="H40" s="281"/>
      <c r="I40" s="280" t="s">
        <v>100</v>
      </c>
      <c r="J40" s="280"/>
      <c r="K40" s="282">
        <f>SUM(G40:H41)</f>
        <v>53136.59</v>
      </c>
      <c r="L40" s="283"/>
      <c r="M40" s="282">
        <f>SUM(D40:D41)</f>
        <v>56962.67</v>
      </c>
      <c r="N40" s="288"/>
      <c r="P40" s="23"/>
    </row>
    <row r="41" spans="1:16" s="10" customFormat="1" ht="15" customHeight="1" thickBot="1">
      <c r="A41" s="359" t="s">
        <v>129</v>
      </c>
      <c r="B41" s="360"/>
      <c r="C41" s="361"/>
      <c r="D41" s="112">
        <v>29136</v>
      </c>
      <c r="E41" s="291">
        <v>3219</v>
      </c>
      <c r="F41" s="292"/>
      <c r="G41" s="269">
        <f>+D41-E41</f>
        <v>25917</v>
      </c>
      <c r="H41" s="293"/>
      <c r="I41" s="268" t="str">
        <f>IF(G41&gt;0,IF(G41&gt;3645.58,"CUMPLE","NO CUMPLE"),"")</f>
        <v>CUMPLE</v>
      </c>
      <c r="J41" s="269"/>
      <c r="K41" s="284"/>
      <c r="L41" s="285"/>
      <c r="M41" s="284"/>
      <c r="N41" s="289"/>
      <c r="P41" s="23"/>
    </row>
    <row r="42" spans="1:16" s="10" customFormat="1" ht="15.75" thickBot="1">
      <c r="A42" s="236"/>
      <c r="B42" s="236"/>
      <c r="C42" s="236"/>
      <c r="D42" s="113"/>
      <c r="E42" s="270"/>
      <c r="F42" s="270"/>
      <c r="G42" s="270"/>
      <c r="H42" s="270"/>
      <c r="I42" s="270"/>
      <c r="J42" s="270"/>
      <c r="K42" s="286"/>
      <c r="L42" s="287"/>
      <c r="M42" s="286"/>
      <c r="N42" s="290"/>
      <c r="P42" s="23"/>
    </row>
    <row r="43" spans="1:14" ht="36.75" customHeight="1">
      <c r="A43" s="98">
        <v>1</v>
      </c>
      <c r="B43" s="271" t="s">
        <v>95</v>
      </c>
      <c r="C43" s="272"/>
      <c r="D43" s="272"/>
      <c r="E43" s="272"/>
      <c r="F43" s="272"/>
      <c r="G43" s="272"/>
      <c r="H43" s="272"/>
      <c r="I43" s="273">
        <f>+PARAMETROS!F13</f>
        <v>9754.997825242719</v>
      </c>
      <c r="J43" s="273"/>
      <c r="K43" s="264"/>
      <c r="L43" s="265"/>
      <c r="M43" s="266" t="s">
        <v>20</v>
      </c>
      <c r="N43" s="267"/>
    </row>
    <row r="44" spans="1:14" ht="32.25" customHeight="1">
      <c r="A44" s="12">
        <v>2</v>
      </c>
      <c r="B44" s="252" t="s">
        <v>96</v>
      </c>
      <c r="C44" s="253"/>
      <c r="D44" s="253"/>
      <c r="E44" s="253"/>
      <c r="F44" s="253"/>
      <c r="G44" s="253"/>
      <c r="H44" s="253"/>
      <c r="I44" s="254">
        <f>+PARAMETROS!F12</f>
        <v>6503.331883495146</v>
      </c>
      <c r="J44" s="254"/>
      <c r="K44" s="255" t="s">
        <v>20</v>
      </c>
      <c r="L44" s="255"/>
      <c r="M44" s="256"/>
      <c r="N44" s="257"/>
    </row>
    <row r="45" spans="1:14" ht="39.75" customHeight="1">
      <c r="A45" s="12">
        <v>3</v>
      </c>
      <c r="B45" s="252" t="s">
        <v>65</v>
      </c>
      <c r="C45" s="253"/>
      <c r="D45" s="253"/>
      <c r="E45" s="253"/>
      <c r="F45" s="253"/>
      <c r="G45" s="253"/>
      <c r="H45" s="253"/>
      <c r="I45" s="254">
        <f>+I43*50%</f>
        <v>4877.4989126213595</v>
      </c>
      <c r="J45" s="254"/>
      <c r="K45" s="255"/>
      <c r="L45" s="255"/>
      <c r="M45" s="256" t="s">
        <v>20</v>
      </c>
      <c r="N45" s="257"/>
    </row>
    <row r="46" spans="1:14" ht="36.75" customHeight="1" thickBot="1">
      <c r="A46" s="13">
        <v>4</v>
      </c>
      <c r="B46" s="258" t="s">
        <v>66</v>
      </c>
      <c r="C46" s="259"/>
      <c r="D46" s="259"/>
      <c r="E46" s="259"/>
      <c r="F46" s="259"/>
      <c r="G46" s="259"/>
      <c r="H46" s="259"/>
      <c r="I46" s="260">
        <f>+I44*50%</f>
        <v>3251.665941747573</v>
      </c>
      <c r="J46" s="260"/>
      <c r="K46" s="261" t="s">
        <v>20</v>
      </c>
      <c r="L46" s="261"/>
      <c r="M46" s="262"/>
      <c r="N46" s="263"/>
    </row>
    <row r="48" spans="1:16" s="16" customFormat="1" ht="15">
      <c r="A48" s="14" t="s">
        <v>33</v>
      </c>
      <c r="B48" s="15"/>
      <c r="L48" s="17"/>
      <c r="M48" s="17"/>
      <c r="N48" s="18"/>
      <c r="P48" s="25"/>
    </row>
    <row r="49" spans="1:16" s="16" customFormat="1" ht="15">
      <c r="A49" s="14"/>
      <c r="B49" s="15"/>
      <c r="L49" s="17"/>
      <c r="M49" s="17"/>
      <c r="N49" s="18"/>
      <c r="P49" s="25"/>
    </row>
    <row r="50" spans="1:16" s="16" customFormat="1" ht="15">
      <c r="A50" s="14"/>
      <c r="B50" s="15"/>
      <c r="L50" s="17"/>
      <c r="M50" s="17"/>
      <c r="N50" s="18"/>
      <c r="P50" s="25"/>
    </row>
    <row r="51" spans="1:16" s="16" customFormat="1" ht="15">
      <c r="A51" s="14"/>
      <c r="B51" s="15"/>
      <c r="L51" s="17"/>
      <c r="M51" s="17"/>
      <c r="N51" s="18"/>
      <c r="P51" s="25"/>
    </row>
    <row r="52" spans="1:16" s="16" customFormat="1" ht="15">
      <c r="A52" s="14"/>
      <c r="B52" s="15"/>
      <c r="L52" s="17"/>
      <c r="M52" s="17"/>
      <c r="N52" s="18"/>
      <c r="P52" s="25"/>
    </row>
    <row r="53" spans="1:16" s="16" customFormat="1" ht="15">
      <c r="A53" s="19"/>
      <c r="B53" s="15"/>
      <c r="L53" s="17"/>
      <c r="M53" s="17"/>
      <c r="N53" s="18"/>
      <c r="P53" s="25"/>
    </row>
    <row r="54" spans="1:23" ht="15">
      <c r="A54" s="19"/>
      <c r="B54" s="15"/>
      <c r="C54" s="244" t="s">
        <v>134</v>
      </c>
      <c r="D54" s="244"/>
      <c r="E54" s="16"/>
      <c r="F54" s="244" t="s">
        <v>135</v>
      </c>
      <c r="G54" s="244"/>
      <c r="H54" s="16"/>
      <c r="I54" s="16"/>
      <c r="J54" s="244" t="s">
        <v>136</v>
      </c>
      <c r="K54" s="244"/>
      <c r="L54" s="244"/>
      <c r="M54" s="17"/>
      <c r="N54" s="18"/>
      <c r="T54" s="104"/>
      <c r="U54" s="109"/>
      <c r="V54" s="109"/>
      <c r="W54" s="109">
        <f>SUM(W42:W53)</f>
        <v>0</v>
      </c>
    </row>
    <row r="55" spans="1:22" ht="15">
      <c r="A55" s="19"/>
      <c r="B55" s="15"/>
      <c r="C55" s="244" t="s">
        <v>130</v>
      </c>
      <c r="D55" s="244"/>
      <c r="E55" s="16"/>
      <c r="F55" s="244" t="s">
        <v>131</v>
      </c>
      <c r="G55" s="244"/>
      <c r="H55" s="16"/>
      <c r="I55" s="16"/>
      <c r="J55" s="244" t="s">
        <v>132</v>
      </c>
      <c r="K55" s="244"/>
      <c r="L55" s="244"/>
      <c r="M55" s="17"/>
      <c r="N55" s="18"/>
      <c r="T55" s="104"/>
      <c r="U55" s="16"/>
      <c r="V55" s="16"/>
    </row>
    <row r="56" spans="1:23" s="16" customFormat="1" ht="15">
      <c r="A56" s="19"/>
      <c r="L56" s="17"/>
      <c r="M56" s="17"/>
      <c r="N56" s="18"/>
      <c r="P56" s="25"/>
      <c r="R56" s="109">
        <v>17634.83</v>
      </c>
      <c r="S56" s="109">
        <v>3654.94</v>
      </c>
      <c r="T56" s="104">
        <v>0.68</v>
      </c>
      <c r="U56" s="109">
        <f aca="true" t="shared" si="0" ref="U56:U66">+R56*T56</f>
        <v>11991.684400000002</v>
      </c>
      <c r="V56" s="109">
        <f>+S56*T56</f>
        <v>2485.3592000000003</v>
      </c>
      <c r="W56" s="109">
        <f>+U56-V56</f>
        <v>9506.325200000001</v>
      </c>
    </row>
    <row r="57" spans="1:23" s="16" customFormat="1" ht="15">
      <c r="A57" s="19"/>
      <c r="L57" s="17"/>
      <c r="M57" s="17"/>
      <c r="N57" s="18"/>
      <c r="P57" s="25"/>
      <c r="R57" s="109">
        <v>32782.81</v>
      </c>
      <c r="S57" s="109">
        <v>26303.45</v>
      </c>
      <c r="T57" s="104">
        <v>0.8</v>
      </c>
      <c r="U57" s="109">
        <f t="shared" si="0"/>
        <v>26226.248</v>
      </c>
      <c r="V57" s="109">
        <f aca="true" t="shared" si="1" ref="V57:V66">+S57*T57</f>
        <v>21042.760000000002</v>
      </c>
      <c r="W57" s="109">
        <f aca="true" t="shared" si="2" ref="W57:W66">+U57-V57</f>
        <v>5183.487999999998</v>
      </c>
    </row>
    <row r="58" spans="1:23" s="16" customFormat="1" ht="15">
      <c r="A58" s="19"/>
      <c r="L58" s="17"/>
      <c r="M58" s="17"/>
      <c r="N58" s="18"/>
      <c r="P58" s="25"/>
      <c r="R58" s="109">
        <v>13357.63</v>
      </c>
      <c r="S58" s="109">
        <v>9541.17</v>
      </c>
      <c r="T58" s="104">
        <v>0.7</v>
      </c>
      <c r="U58" s="109">
        <f t="shared" si="0"/>
        <v>9350.340999999999</v>
      </c>
      <c r="V58" s="109">
        <f t="shared" si="1"/>
        <v>6678.8189999999995</v>
      </c>
      <c r="W58" s="109">
        <f t="shared" si="2"/>
        <v>2671.521999999999</v>
      </c>
    </row>
    <row r="59" spans="1:23" s="16" customFormat="1" ht="15">
      <c r="A59" s="19"/>
      <c r="L59" s="17"/>
      <c r="M59" s="17"/>
      <c r="N59" s="18"/>
      <c r="P59" s="25"/>
      <c r="R59" s="109">
        <v>995.54</v>
      </c>
      <c r="S59" s="109">
        <v>703.46</v>
      </c>
      <c r="T59" s="104">
        <v>0.9</v>
      </c>
      <c r="U59" s="109">
        <f t="shared" si="0"/>
        <v>895.986</v>
      </c>
      <c r="V59" s="109">
        <f t="shared" si="1"/>
        <v>633.114</v>
      </c>
      <c r="W59" s="109">
        <f t="shared" si="2"/>
        <v>262.87199999999996</v>
      </c>
    </row>
    <row r="60" spans="16:23" s="16" customFormat="1" ht="15">
      <c r="P60" s="25"/>
      <c r="R60" s="109"/>
      <c r="S60" s="109"/>
      <c r="T60" s="104"/>
      <c r="U60" s="109"/>
      <c r="V60" s="109"/>
      <c r="W60" s="109"/>
    </row>
    <row r="61" spans="11:23" s="16" customFormat="1" ht="15">
      <c r="K61" s="20"/>
      <c r="P61" s="25"/>
      <c r="R61" s="109"/>
      <c r="S61" s="109"/>
      <c r="T61" s="104"/>
      <c r="U61" s="109"/>
      <c r="V61" s="109"/>
      <c r="W61" s="109"/>
    </row>
    <row r="62" spans="18:23" ht="15">
      <c r="R62" s="110"/>
      <c r="S62" s="110"/>
      <c r="T62" s="104"/>
      <c r="U62" s="109"/>
      <c r="V62" s="109"/>
      <c r="W62" s="109"/>
    </row>
    <row r="63" spans="18:23" ht="15">
      <c r="R63" s="110"/>
      <c r="S63" s="110"/>
      <c r="T63" s="104"/>
      <c r="U63" s="109"/>
      <c r="V63" s="109"/>
      <c r="W63" s="109"/>
    </row>
    <row r="64" spans="18:23" ht="15">
      <c r="R64" s="110">
        <v>2088.23</v>
      </c>
      <c r="S64" s="110">
        <v>0</v>
      </c>
      <c r="T64" s="104">
        <v>0.7</v>
      </c>
      <c r="U64" s="109">
        <f t="shared" si="0"/>
        <v>1461.761</v>
      </c>
      <c r="V64" s="109">
        <f t="shared" si="1"/>
        <v>0</v>
      </c>
      <c r="W64" s="109">
        <f t="shared" si="2"/>
        <v>1461.761</v>
      </c>
    </row>
    <row r="65" spans="18:23" ht="15">
      <c r="R65" s="110">
        <v>776.63</v>
      </c>
      <c r="S65" s="110">
        <v>0</v>
      </c>
      <c r="T65" s="104">
        <v>0.165</v>
      </c>
      <c r="U65" s="109">
        <f t="shared" si="0"/>
        <v>128.14395000000002</v>
      </c>
      <c r="V65" s="109">
        <f t="shared" si="1"/>
        <v>0</v>
      </c>
      <c r="W65" s="109">
        <f t="shared" si="2"/>
        <v>128.14395000000002</v>
      </c>
    </row>
    <row r="66" spans="18:23" ht="15">
      <c r="R66" s="110">
        <v>2394.97</v>
      </c>
      <c r="S66" s="110">
        <v>0</v>
      </c>
      <c r="T66" s="104">
        <v>0.25</v>
      </c>
      <c r="U66" s="109">
        <f t="shared" si="0"/>
        <v>598.7425</v>
      </c>
      <c r="V66" s="109">
        <f t="shared" si="1"/>
        <v>0</v>
      </c>
      <c r="W66" s="109">
        <f t="shared" si="2"/>
        <v>598.7425</v>
      </c>
    </row>
    <row r="67" spans="20:23" ht="15">
      <c r="T67" s="104"/>
      <c r="U67" s="109"/>
      <c r="V67" s="109"/>
      <c r="W67" s="109">
        <f>SUM(W56:W66)</f>
        <v>19812.854649999997</v>
      </c>
    </row>
    <row r="68" spans="20:22" ht="15">
      <c r="T68" s="104"/>
      <c r="U68" s="16"/>
      <c r="V68" s="16"/>
    </row>
    <row r="69" spans="20:22" ht="15">
      <c r="T69" s="104"/>
      <c r="U69" s="16"/>
      <c r="V69" s="16"/>
    </row>
    <row r="72" spans="5:13" ht="15">
      <c r="E72" s="15"/>
      <c r="F72" s="16"/>
      <c r="G72" s="16"/>
      <c r="H72" s="16"/>
      <c r="I72" s="16"/>
      <c r="J72" s="16"/>
      <c r="K72" s="16"/>
      <c r="L72" s="16"/>
      <c r="M72" s="16">
        <f>235273678/515000</f>
        <v>456.8420932038835</v>
      </c>
    </row>
    <row r="73" spans="5:23" ht="15">
      <c r="E73" s="15"/>
      <c r="F73" s="16"/>
      <c r="G73" s="16"/>
      <c r="H73" s="16"/>
      <c r="I73" s="16"/>
      <c r="J73" s="16"/>
      <c r="K73" s="16"/>
      <c r="L73" s="16"/>
      <c r="M73" s="16"/>
      <c r="R73" s="109">
        <v>20120.72</v>
      </c>
      <c r="S73" s="109">
        <v>12682.75</v>
      </c>
      <c r="T73" s="104">
        <v>1</v>
      </c>
      <c r="U73" s="109">
        <f>+R73*T73</f>
        <v>20120.72</v>
      </c>
      <c r="V73" s="109">
        <f>+S73*T73</f>
        <v>12682.75</v>
      </c>
      <c r="W73" s="109">
        <f>+U73-V73</f>
        <v>7437.970000000001</v>
      </c>
    </row>
    <row r="74" spans="5:23" ht="15">
      <c r="E74" s="16">
        <v>25.18</v>
      </c>
      <c r="F74" s="16">
        <v>0</v>
      </c>
      <c r="G74" s="182">
        <v>1</v>
      </c>
      <c r="H74" s="17">
        <f>+E74*G74</f>
        <v>25.18</v>
      </c>
      <c r="I74" s="18">
        <f>+F74*G74</f>
        <v>0</v>
      </c>
      <c r="J74" s="183">
        <f>+H74-I74</f>
        <v>25.18</v>
      </c>
      <c r="K74" s="16"/>
      <c r="L74" s="16"/>
      <c r="M74" s="16"/>
      <c r="R74" s="109">
        <v>1216.68</v>
      </c>
      <c r="S74" s="109">
        <v>202.44</v>
      </c>
      <c r="T74" s="104">
        <v>0.5</v>
      </c>
      <c r="U74" s="109">
        <f>+R74*T74</f>
        <v>608.34</v>
      </c>
      <c r="V74" s="109">
        <f>+S74*T74</f>
        <v>101.22</v>
      </c>
      <c r="W74" s="109">
        <f>+U74-V74</f>
        <v>507.12</v>
      </c>
    </row>
    <row r="75" spans="5:23" ht="15">
      <c r="E75" s="16">
        <v>56.31</v>
      </c>
      <c r="F75" s="16">
        <v>0</v>
      </c>
      <c r="G75" s="182">
        <v>1</v>
      </c>
      <c r="H75" s="17">
        <f>+E75*G75</f>
        <v>56.31</v>
      </c>
      <c r="I75" s="18">
        <f>+F75*G75</f>
        <v>0</v>
      </c>
      <c r="J75" s="183">
        <f>+H75-I75</f>
        <v>56.31</v>
      </c>
      <c r="K75" s="16"/>
      <c r="L75" s="16"/>
      <c r="M75" s="16"/>
      <c r="R75" s="16"/>
      <c r="S75" s="16"/>
      <c r="T75" s="104"/>
      <c r="U75" s="109"/>
      <c r="V75" s="109"/>
      <c r="W75" s="109">
        <f>SUM(W73:W74)</f>
        <v>7945.090000000001</v>
      </c>
    </row>
    <row r="76" spans="5:13" ht="15">
      <c r="E76" s="16">
        <v>68.75</v>
      </c>
      <c r="F76" s="16">
        <v>0</v>
      </c>
      <c r="G76" s="182">
        <v>1</v>
      </c>
      <c r="H76" s="17">
        <f>+E76*G76</f>
        <v>68.75</v>
      </c>
      <c r="I76" s="18">
        <f>+F76*G76</f>
        <v>0</v>
      </c>
      <c r="J76" s="183">
        <f>+H76-I76</f>
        <v>68.75</v>
      </c>
      <c r="K76" s="16"/>
      <c r="L76" s="20"/>
      <c r="M76" s="16"/>
    </row>
    <row r="77" spans="5:13" ht="15">
      <c r="E77" s="16">
        <v>456.84</v>
      </c>
      <c r="F77" s="16">
        <v>0</v>
      </c>
      <c r="G77" s="182">
        <v>1</v>
      </c>
      <c r="H77" s="17">
        <f>+E77*G77</f>
        <v>456.84</v>
      </c>
      <c r="I77" s="18">
        <f>+F77*G77</f>
        <v>0</v>
      </c>
      <c r="J77" s="183">
        <f>+H77-I77</f>
        <v>456.84</v>
      </c>
      <c r="K77" s="16"/>
      <c r="L77" s="20"/>
      <c r="M77" s="16"/>
    </row>
    <row r="78" spans="9:12" ht="15">
      <c r="I78" s="1"/>
      <c r="J78" s="161">
        <f>SUM(J74:J77)</f>
        <v>607.0799999999999</v>
      </c>
      <c r="K78" s="1"/>
      <c r="L78" s="2"/>
    </row>
    <row r="79" spans="9:12" ht="15">
      <c r="I79" s="1"/>
      <c r="K79" s="1"/>
      <c r="L79" s="2"/>
    </row>
    <row r="80" spans="9:12" ht="15">
      <c r="I80" s="1"/>
      <c r="K80" s="1"/>
      <c r="L80" s="2"/>
    </row>
    <row r="81" spans="9:12" ht="15">
      <c r="I81" s="1"/>
      <c r="K81" s="1"/>
      <c r="L81" s="2"/>
    </row>
    <row r="82" spans="9:12" ht="15">
      <c r="I82" s="1"/>
      <c r="K82" s="1"/>
      <c r="L82" s="2"/>
    </row>
    <row r="83" spans="9:12" ht="15">
      <c r="I83" s="1"/>
      <c r="K83" s="1"/>
      <c r="L83" s="2"/>
    </row>
  </sheetData>
  <sheetProtection/>
  <mergeCells count="91">
    <mergeCell ref="A1:N1"/>
    <mergeCell ref="A2:N3"/>
    <mergeCell ref="C5:E5"/>
    <mergeCell ref="G5:H5"/>
    <mergeCell ref="I5:J5"/>
    <mergeCell ref="A6:B7"/>
    <mergeCell ref="C6:E6"/>
    <mergeCell ref="G6:H6"/>
    <mergeCell ref="I6:J6"/>
    <mergeCell ref="C7:E7"/>
    <mergeCell ref="G7:H7"/>
    <mergeCell ref="I7:J7"/>
    <mergeCell ref="A9:N9"/>
    <mergeCell ref="A10:A11"/>
    <mergeCell ref="B10:B11"/>
    <mergeCell ref="C10:C11"/>
    <mergeCell ref="D10:D11"/>
    <mergeCell ref="E10:E11"/>
    <mergeCell ref="M10:N10"/>
    <mergeCell ref="I15:J15"/>
    <mergeCell ref="M15:N17"/>
    <mergeCell ref="B16:F16"/>
    <mergeCell ref="I16:I17"/>
    <mergeCell ref="J16:J17"/>
    <mergeCell ref="K16:K17"/>
    <mergeCell ref="L16:L17"/>
    <mergeCell ref="A17:H17"/>
    <mergeCell ref="A18:H18"/>
    <mergeCell ref="I18:J19"/>
    <mergeCell ref="K18:L19"/>
    <mergeCell ref="M18:N19"/>
    <mergeCell ref="A33:N33"/>
    <mergeCell ref="A34:C34"/>
    <mergeCell ref="D34:E34"/>
    <mergeCell ref="F34:J34"/>
    <mergeCell ref="K34:M34"/>
    <mergeCell ref="C26:D26"/>
    <mergeCell ref="A35:C35"/>
    <mergeCell ref="D35:E35"/>
    <mergeCell ref="F35:J35"/>
    <mergeCell ref="K35:M35"/>
    <mergeCell ref="A38:N38"/>
    <mergeCell ref="A39:C39"/>
    <mergeCell ref="E39:F39"/>
    <mergeCell ref="G39:H39"/>
    <mergeCell ref="I39:J39"/>
    <mergeCell ref="K39:L39"/>
    <mergeCell ref="M39:N39"/>
    <mergeCell ref="A40:C40"/>
    <mergeCell ref="E40:F40"/>
    <mergeCell ref="G40:H40"/>
    <mergeCell ref="I40:J40"/>
    <mergeCell ref="K40:L42"/>
    <mergeCell ref="M40:N42"/>
    <mergeCell ref="A41:C41"/>
    <mergeCell ref="E41:F41"/>
    <mergeCell ref="G41:H41"/>
    <mergeCell ref="M44:N44"/>
    <mergeCell ref="I41:J41"/>
    <mergeCell ref="A42:C42"/>
    <mergeCell ref="E42:F42"/>
    <mergeCell ref="G42:H42"/>
    <mergeCell ref="I42:J42"/>
    <mergeCell ref="B43:H43"/>
    <mergeCell ref="I43:J43"/>
    <mergeCell ref="M45:N45"/>
    <mergeCell ref="B46:H46"/>
    <mergeCell ref="I46:J46"/>
    <mergeCell ref="K46:L46"/>
    <mergeCell ref="M46:N46"/>
    <mergeCell ref="K43:L43"/>
    <mergeCell ref="M43:N43"/>
    <mergeCell ref="B44:H44"/>
    <mergeCell ref="I44:J44"/>
    <mergeCell ref="K44:L44"/>
    <mergeCell ref="C54:D54"/>
    <mergeCell ref="F54:G54"/>
    <mergeCell ref="J54:L54"/>
    <mergeCell ref="B45:H45"/>
    <mergeCell ref="I45:J45"/>
    <mergeCell ref="K45:L45"/>
    <mergeCell ref="C55:D55"/>
    <mergeCell ref="F55:G55"/>
    <mergeCell ref="J55:L55"/>
    <mergeCell ref="A30:N30"/>
    <mergeCell ref="A31:N32"/>
    <mergeCell ref="F26:G26"/>
    <mergeCell ref="J26:L26"/>
    <mergeCell ref="C27:D27"/>
    <mergeCell ref="F27:G27"/>
    <mergeCell ref="J27:L27"/>
  </mergeCells>
  <printOptions/>
  <pageMargins left="0.4" right="0.17" top="0.7" bottom="0.26" header="1.07" footer="1.62"/>
  <pageSetup horizontalDpi="300" verticalDpi="300" orientation="landscape" paperSize="14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W80"/>
  <sheetViews>
    <sheetView zoomScale="65" zoomScaleNormal="65" zoomScalePageLayoutView="0" workbookViewId="0" topLeftCell="A1">
      <selection activeCell="A30" sqref="A30:N55"/>
    </sheetView>
  </sheetViews>
  <sheetFormatPr defaultColWidth="11.421875" defaultRowHeight="15"/>
  <cols>
    <col min="1" max="1" width="6.140625" style="1" customWidth="1"/>
    <col min="2" max="2" width="21.00390625" style="1" customWidth="1"/>
    <col min="3" max="3" width="22.140625" style="1" bestFit="1" customWidth="1"/>
    <col min="4" max="4" width="21.421875" style="1" customWidth="1"/>
    <col min="5" max="5" width="9.140625" style="1" bestFit="1" customWidth="1"/>
    <col min="6" max="6" width="19.140625" style="1" customWidth="1"/>
    <col min="7" max="7" width="11.421875" style="1" customWidth="1"/>
    <col min="8" max="8" width="14.28125" style="1" customWidth="1"/>
    <col min="9" max="9" width="24.57421875" style="2" customWidth="1"/>
    <col min="10" max="10" width="12.421875" style="1" bestFit="1" customWidth="1"/>
    <col min="11" max="11" width="13.00390625" style="3" customWidth="1"/>
    <col min="12" max="12" width="12.7109375" style="1" customWidth="1"/>
    <col min="13" max="13" width="12.8515625" style="1" customWidth="1"/>
    <col min="14" max="14" width="17.57421875" style="3" customWidth="1"/>
    <col min="15" max="15" width="12.8515625" style="1" bestFit="1" customWidth="1"/>
    <col min="16" max="16" width="12.28125" style="23" bestFit="1" customWidth="1"/>
    <col min="17" max="17" width="11.421875" style="1" customWidth="1"/>
    <col min="18" max="18" width="12.421875" style="1" bestFit="1" customWidth="1"/>
    <col min="19" max="19" width="11.421875" style="1" customWidth="1"/>
    <col min="20" max="20" width="26.57421875" style="1" customWidth="1"/>
    <col min="21" max="21" width="11.421875" style="1" customWidth="1"/>
    <col min="22" max="22" width="10.8515625" style="1" bestFit="1" customWidth="1"/>
    <col min="23" max="16384" width="11.421875" style="1" customWidth="1"/>
  </cols>
  <sheetData>
    <row r="1" spans="1:14" ht="18.75" customHeight="1">
      <c r="A1" s="245" t="s">
        <v>72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15" customHeight="1">
      <c r="A2" s="246" t="s">
        <v>73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20" ht="21" customHeight="1">
      <c r="A3" s="249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1"/>
      <c r="T3" s="1">
        <f>2307013684-231770224</f>
        <v>2075243460</v>
      </c>
    </row>
    <row r="4" ht="15.75" thickBot="1"/>
    <row r="5" spans="1:10" ht="24.75" customHeight="1" thickBot="1">
      <c r="A5" s="52" t="s">
        <v>0</v>
      </c>
      <c r="B5" s="53"/>
      <c r="C5" s="348" t="s">
        <v>77</v>
      </c>
      <c r="D5" s="349"/>
      <c r="E5" s="349"/>
      <c r="F5" s="54" t="s">
        <v>1</v>
      </c>
      <c r="G5" s="350" t="s">
        <v>2</v>
      </c>
      <c r="H5" s="351"/>
      <c r="I5" s="350" t="s">
        <v>42</v>
      </c>
      <c r="J5" s="351"/>
    </row>
    <row r="6" spans="1:10" ht="15.75" thickBot="1">
      <c r="A6" s="352" t="s">
        <v>3</v>
      </c>
      <c r="B6" s="353"/>
      <c r="C6" s="276" t="s">
        <v>82</v>
      </c>
      <c r="D6" s="236"/>
      <c r="E6" s="277"/>
      <c r="F6" s="97">
        <v>0.8</v>
      </c>
      <c r="G6" s="340" t="s">
        <v>61</v>
      </c>
      <c r="H6" s="341"/>
      <c r="I6" s="340" t="s">
        <v>20</v>
      </c>
      <c r="J6" s="341"/>
    </row>
    <row r="7" spans="1:10" ht="15.75" thickBot="1">
      <c r="A7" s="354" t="s">
        <v>3</v>
      </c>
      <c r="B7" s="355"/>
      <c r="C7" s="276" t="s">
        <v>83</v>
      </c>
      <c r="D7" s="236"/>
      <c r="E7" s="277"/>
      <c r="F7" s="97">
        <v>0.2</v>
      </c>
      <c r="G7" s="340" t="s">
        <v>61</v>
      </c>
      <c r="H7" s="341"/>
      <c r="I7" s="340" t="s">
        <v>20</v>
      </c>
      <c r="J7" s="341"/>
    </row>
    <row r="8" spans="1:16" s="47" customFormat="1" ht="15.75" thickBot="1">
      <c r="A8" s="94"/>
      <c r="B8" s="95"/>
      <c r="C8" s="96"/>
      <c r="D8" s="55"/>
      <c r="E8" s="55"/>
      <c r="F8" s="50"/>
      <c r="G8" s="46"/>
      <c r="H8" s="46"/>
      <c r="I8" s="46"/>
      <c r="J8" s="46"/>
      <c r="K8" s="51"/>
      <c r="N8" s="48"/>
      <c r="P8" s="49"/>
    </row>
    <row r="9" spans="1:14" ht="19.5" thickBot="1">
      <c r="A9" s="303" t="s">
        <v>4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5"/>
    </row>
    <row r="10" spans="1:20" s="5" customFormat="1" ht="45">
      <c r="A10" s="342" t="s">
        <v>5</v>
      </c>
      <c r="B10" s="344" t="s">
        <v>6</v>
      </c>
      <c r="C10" s="344" t="s">
        <v>7</v>
      </c>
      <c r="D10" s="344" t="s">
        <v>3</v>
      </c>
      <c r="E10" s="344" t="s">
        <v>8</v>
      </c>
      <c r="F10" s="4" t="s">
        <v>9</v>
      </c>
      <c r="G10" s="4" t="s">
        <v>10</v>
      </c>
      <c r="H10" s="4" t="s">
        <v>11</v>
      </c>
      <c r="I10" s="86" t="s">
        <v>12</v>
      </c>
      <c r="J10" s="87" t="s">
        <v>13</v>
      </c>
      <c r="K10" s="88" t="s">
        <v>34</v>
      </c>
      <c r="L10" s="87" t="s">
        <v>91</v>
      </c>
      <c r="M10" s="346" t="s">
        <v>14</v>
      </c>
      <c r="N10" s="347"/>
      <c r="P10" s="24"/>
      <c r="R10" s="5">
        <v>25450264</v>
      </c>
      <c r="T10" s="116">
        <v>2307013684</v>
      </c>
    </row>
    <row r="11" spans="1:20" s="5" customFormat="1" ht="15.75" thickBot="1">
      <c r="A11" s="343"/>
      <c r="B11" s="345"/>
      <c r="C11" s="345"/>
      <c r="D11" s="345"/>
      <c r="E11" s="345"/>
      <c r="F11" s="117">
        <v>1</v>
      </c>
      <c r="G11" s="117">
        <v>2</v>
      </c>
      <c r="H11" s="117">
        <v>3</v>
      </c>
      <c r="I11" s="118">
        <v>4</v>
      </c>
      <c r="J11" s="118">
        <v>5</v>
      </c>
      <c r="K11" s="119" t="s">
        <v>15</v>
      </c>
      <c r="L11" s="118">
        <v>6</v>
      </c>
      <c r="M11" s="118">
        <v>7</v>
      </c>
      <c r="N11" s="120">
        <v>8</v>
      </c>
      <c r="P11" s="24"/>
      <c r="R11" s="5">
        <v>32528257</v>
      </c>
      <c r="T11" s="61"/>
    </row>
    <row r="12" spans="1:18" ht="57" customHeight="1" thickBot="1">
      <c r="A12" s="150">
        <v>1</v>
      </c>
      <c r="B12" s="152" t="s">
        <v>78</v>
      </c>
      <c r="C12" s="152" t="s">
        <v>85</v>
      </c>
      <c r="D12" s="162" t="s">
        <v>84</v>
      </c>
      <c r="E12" s="169">
        <v>1</v>
      </c>
      <c r="F12" s="154">
        <v>1</v>
      </c>
      <c r="G12" s="170">
        <v>39805</v>
      </c>
      <c r="H12" s="170">
        <v>40025</v>
      </c>
      <c r="I12" s="171">
        <v>2503549194</v>
      </c>
      <c r="J12" s="157">
        <f>I12/PARAMETROS!B26</f>
        <v>5038.336071644194</v>
      </c>
      <c r="K12" s="157">
        <f>+F12*J12</f>
        <v>5038.336071644194</v>
      </c>
      <c r="L12" s="158" t="s">
        <v>20</v>
      </c>
      <c r="M12" s="159" t="s">
        <v>62</v>
      </c>
      <c r="N12" s="160" t="s">
        <v>20</v>
      </c>
      <c r="R12" s="1">
        <v>71150968</v>
      </c>
    </row>
    <row r="13" spans="1:20" ht="75.75" customHeight="1" thickBot="1">
      <c r="A13" s="150">
        <v>2</v>
      </c>
      <c r="B13" s="151" t="s">
        <v>86</v>
      </c>
      <c r="C13" s="152" t="s">
        <v>85</v>
      </c>
      <c r="D13" s="162" t="s">
        <v>84</v>
      </c>
      <c r="E13" s="169">
        <v>1</v>
      </c>
      <c r="F13" s="154">
        <v>1</v>
      </c>
      <c r="G13" s="155">
        <v>38743</v>
      </c>
      <c r="H13" s="155">
        <v>39186</v>
      </c>
      <c r="I13" s="156">
        <v>2075243460</v>
      </c>
      <c r="J13" s="157">
        <f>I13/PARAMETROS!B24</f>
        <v>4784.974544616094</v>
      </c>
      <c r="K13" s="157">
        <f>+E13*J13</f>
        <v>4784.974544616094</v>
      </c>
      <c r="L13" s="158" t="s">
        <v>20</v>
      </c>
      <c r="M13" s="159" t="s">
        <v>62</v>
      </c>
      <c r="N13" s="160" t="s">
        <v>20</v>
      </c>
      <c r="R13" s="1">
        <v>1033170</v>
      </c>
      <c r="T13" s="116" t="e">
        <f>+I13-#REF!</f>
        <v>#REF!</v>
      </c>
    </row>
    <row r="14" spans="1:20" ht="56.25" customHeight="1" thickBot="1">
      <c r="A14" s="150">
        <v>3</v>
      </c>
      <c r="B14" s="151" t="s">
        <v>87</v>
      </c>
      <c r="C14" s="152" t="s">
        <v>88</v>
      </c>
      <c r="D14" s="162" t="s">
        <v>89</v>
      </c>
      <c r="E14" s="153">
        <v>0.5623</v>
      </c>
      <c r="F14" s="163">
        <v>0.5623</v>
      </c>
      <c r="G14" s="155">
        <v>38686</v>
      </c>
      <c r="H14" s="155">
        <v>39025</v>
      </c>
      <c r="I14" s="156">
        <v>2646038322</v>
      </c>
      <c r="J14" s="157">
        <f>I14/PARAMETROS!B23</f>
        <v>6485.388044117647</v>
      </c>
      <c r="K14" s="164">
        <f>+F14*J14</f>
        <v>3646.733697207353</v>
      </c>
      <c r="L14" s="158" t="s">
        <v>20</v>
      </c>
      <c r="M14" s="159" t="s">
        <v>62</v>
      </c>
      <c r="N14" s="160" t="s">
        <v>20</v>
      </c>
      <c r="R14" s="1">
        <v>280000</v>
      </c>
      <c r="T14" s="61" t="e">
        <f>SUM(#REF!)</f>
        <v>#REF!</v>
      </c>
    </row>
    <row r="15" spans="1:18" ht="15">
      <c r="A15" s="146" t="s">
        <v>17</v>
      </c>
      <c r="B15" s="36"/>
      <c r="C15" s="36"/>
      <c r="D15" s="36"/>
      <c r="E15" s="36"/>
      <c r="F15" s="36"/>
      <c r="G15" s="36"/>
      <c r="H15" s="147"/>
      <c r="I15" s="326" t="s">
        <v>18</v>
      </c>
      <c r="J15" s="327"/>
      <c r="K15" s="148">
        <f>SUM(K12:K14)</f>
        <v>13470.044313467642</v>
      </c>
      <c r="L15" s="149" t="s">
        <v>16</v>
      </c>
      <c r="M15" s="328"/>
      <c r="N15" s="329"/>
      <c r="R15" s="1">
        <v>1273259</v>
      </c>
    </row>
    <row r="16" spans="1:18" ht="27.75" customHeight="1">
      <c r="A16" s="108" t="s">
        <v>62</v>
      </c>
      <c r="B16" s="312" t="s">
        <v>93</v>
      </c>
      <c r="C16" s="312"/>
      <c r="D16" s="312"/>
      <c r="E16" s="312"/>
      <c r="F16" s="312"/>
      <c r="G16" s="114">
        <f>+PARAMETROS!B4</f>
        <v>3251.665941747573</v>
      </c>
      <c r="H16" s="115" t="s">
        <v>16</v>
      </c>
      <c r="I16" s="332" t="s">
        <v>19</v>
      </c>
      <c r="J16" s="334">
        <f>PARAMETROS!B6</f>
        <v>6503.331883495146</v>
      </c>
      <c r="K16" s="336">
        <f>+K15-J16</f>
        <v>6966.7124299724965</v>
      </c>
      <c r="L16" s="338" t="s">
        <v>16</v>
      </c>
      <c r="M16" s="328"/>
      <c r="N16" s="329"/>
      <c r="R16" s="1">
        <v>3178308</v>
      </c>
    </row>
    <row r="17" spans="1:18" ht="31.5" customHeight="1" thickBot="1">
      <c r="A17" s="311"/>
      <c r="B17" s="312"/>
      <c r="C17" s="312"/>
      <c r="D17" s="312"/>
      <c r="E17" s="312"/>
      <c r="F17" s="312"/>
      <c r="G17" s="312"/>
      <c r="H17" s="313"/>
      <c r="I17" s="333"/>
      <c r="J17" s="335"/>
      <c r="K17" s="337"/>
      <c r="L17" s="339"/>
      <c r="M17" s="330"/>
      <c r="N17" s="331"/>
      <c r="R17" s="1">
        <v>516585</v>
      </c>
    </row>
    <row r="18" spans="1:20" ht="30.75" customHeight="1">
      <c r="A18" s="311"/>
      <c r="B18" s="312"/>
      <c r="C18" s="312"/>
      <c r="D18" s="312"/>
      <c r="E18" s="312"/>
      <c r="F18" s="312"/>
      <c r="G18" s="312"/>
      <c r="H18" s="313"/>
      <c r="I18" s="314" t="s">
        <v>21</v>
      </c>
      <c r="J18" s="315"/>
      <c r="K18" s="318">
        <f>IF(K16&lt;0,"",IF(ROUND(+K16/PARAMETROS!B7,0)&gt;3,150,ROUNDDOWN(+K16/PARAMETROS!B7,0)*30))</f>
        <v>150</v>
      </c>
      <c r="L18" s="319"/>
      <c r="M18" s="322" t="str">
        <f>IF(K15&gt;J16,"CUMPLE","NO CUMPLE")</f>
        <v>CUMPLE</v>
      </c>
      <c r="N18" s="323"/>
      <c r="R18" s="1">
        <v>1273259</v>
      </c>
      <c r="T18" s="161" t="e">
        <f>T10-#REF!</f>
        <v>#REF!</v>
      </c>
    </row>
    <row r="19" spans="1:18" ht="15.75" thickBot="1">
      <c r="A19" s="7"/>
      <c r="B19" s="8"/>
      <c r="C19" s="8"/>
      <c r="D19" s="8"/>
      <c r="E19" s="8"/>
      <c r="F19" s="8"/>
      <c r="G19" s="8"/>
      <c r="H19" s="9"/>
      <c r="I19" s="316"/>
      <c r="J19" s="317"/>
      <c r="K19" s="320"/>
      <c r="L19" s="321"/>
      <c r="M19" s="324"/>
      <c r="N19" s="325"/>
      <c r="R19" s="1">
        <v>3314046</v>
      </c>
    </row>
    <row r="21" spans="1:16" s="16" customFormat="1" ht="15">
      <c r="A21" s="14" t="s">
        <v>33</v>
      </c>
      <c r="B21" s="15"/>
      <c r="L21" s="17"/>
      <c r="M21" s="17"/>
      <c r="N21" s="18"/>
      <c r="P21" s="25"/>
    </row>
    <row r="22" spans="1:16" s="16" customFormat="1" ht="15">
      <c r="A22" s="14"/>
      <c r="B22" s="15"/>
      <c r="L22" s="17"/>
      <c r="M22" s="17"/>
      <c r="N22" s="18"/>
      <c r="P22" s="25"/>
    </row>
    <row r="23" spans="1:16" s="16" customFormat="1" ht="15">
      <c r="A23" s="14"/>
      <c r="B23" s="15"/>
      <c r="L23" s="17"/>
      <c r="M23" s="17"/>
      <c r="N23" s="18"/>
      <c r="P23" s="25"/>
    </row>
    <row r="24" spans="1:16" s="16" customFormat="1" ht="15">
      <c r="A24" s="14"/>
      <c r="B24" s="15"/>
      <c r="L24" s="17"/>
      <c r="M24" s="17"/>
      <c r="N24" s="18"/>
      <c r="P24" s="25"/>
    </row>
    <row r="25" spans="1:16" s="16" customFormat="1" ht="15">
      <c r="A25" s="14"/>
      <c r="B25" s="15"/>
      <c r="L25" s="17"/>
      <c r="M25" s="17"/>
      <c r="N25" s="18"/>
      <c r="P25" s="25"/>
    </row>
    <row r="26" spans="1:16" s="16" customFormat="1" ht="15">
      <c r="A26" s="19"/>
      <c r="B26" s="15"/>
      <c r="L26" s="17"/>
      <c r="M26" s="17"/>
      <c r="N26" s="18"/>
      <c r="P26" s="25"/>
    </row>
    <row r="27" spans="1:23" ht="15">
      <c r="A27" s="19"/>
      <c r="B27" s="15"/>
      <c r="C27" s="244" t="s">
        <v>134</v>
      </c>
      <c r="D27" s="244"/>
      <c r="E27" s="16"/>
      <c r="F27" s="244" t="s">
        <v>135</v>
      </c>
      <c r="G27" s="244"/>
      <c r="H27" s="16"/>
      <c r="I27" s="16"/>
      <c r="J27" s="244" t="s">
        <v>136</v>
      </c>
      <c r="K27" s="244"/>
      <c r="L27" s="244"/>
      <c r="M27" s="17"/>
      <c r="N27" s="18"/>
      <c r="T27" s="104"/>
      <c r="U27" s="109"/>
      <c r="V27" s="109"/>
      <c r="W27" s="109" t="e">
        <f>SUM(#REF!)</f>
        <v>#REF!</v>
      </c>
    </row>
    <row r="28" spans="1:22" ht="15">
      <c r="A28" s="19"/>
      <c r="B28" s="15"/>
      <c r="C28" s="244" t="s">
        <v>130</v>
      </c>
      <c r="D28" s="244"/>
      <c r="E28" s="16"/>
      <c r="F28" s="244" t="s">
        <v>131</v>
      </c>
      <c r="G28" s="244"/>
      <c r="H28" s="16"/>
      <c r="I28" s="16"/>
      <c r="J28" s="244" t="s">
        <v>132</v>
      </c>
      <c r="K28" s="244"/>
      <c r="L28" s="244"/>
      <c r="M28" s="17"/>
      <c r="N28" s="18"/>
      <c r="T28" s="104"/>
      <c r="U28" s="16"/>
      <c r="V28" s="16"/>
    </row>
    <row r="29" spans="1:22" ht="15">
      <c r="A29" s="19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  <c r="N29" s="18"/>
      <c r="T29" s="104"/>
      <c r="U29" s="16"/>
      <c r="V29" s="16"/>
    </row>
    <row r="30" spans="1:14" ht="18.75" customHeight="1">
      <c r="A30" s="245" t="s">
        <v>72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</row>
    <row r="31" spans="1:14" ht="15" customHeight="1">
      <c r="A31" s="246" t="s">
        <v>73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8"/>
    </row>
    <row r="32" spans="1:20" ht="21" customHeight="1" thickBot="1">
      <c r="A32" s="249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1"/>
      <c r="T32" s="1">
        <f>2307013684-231770224</f>
        <v>2075243460</v>
      </c>
    </row>
    <row r="33" spans="1:18" ht="19.5" thickBot="1">
      <c r="A33" s="303" t="s">
        <v>70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5"/>
      <c r="R33" s="1">
        <v>516586</v>
      </c>
    </row>
    <row r="34" spans="1:18" s="10" customFormat="1" ht="15.75" thickBot="1">
      <c r="A34" s="369" t="s">
        <v>22</v>
      </c>
      <c r="B34" s="370"/>
      <c r="C34" s="370"/>
      <c r="D34" s="274" t="s">
        <v>23</v>
      </c>
      <c r="E34" s="308"/>
      <c r="F34" s="307" t="s">
        <v>24</v>
      </c>
      <c r="G34" s="307"/>
      <c r="H34" s="307"/>
      <c r="I34" s="307"/>
      <c r="J34" s="308"/>
      <c r="K34" s="370" t="s">
        <v>25</v>
      </c>
      <c r="L34" s="370"/>
      <c r="M34" s="274"/>
      <c r="N34" s="40" t="s">
        <v>21</v>
      </c>
      <c r="P34" s="23"/>
      <c r="R34" s="10">
        <v>9943264</v>
      </c>
    </row>
    <row r="35" spans="1:18" s="10" customFormat="1" ht="151.5" customHeight="1" thickBot="1">
      <c r="A35" s="294" t="s">
        <v>97</v>
      </c>
      <c r="B35" s="295"/>
      <c r="C35" s="296"/>
      <c r="D35" s="297" t="s">
        <v>69</v>
      </c>
      <c r="E35" s="298"/>
      <c r="F35" s="299" t="s">
        <v>98</v>
      </c>
      <c r="G35" s="299"/>
      <c r="H35" s="299"/>
      <c r="I35" s="299"/>
      <c r="J35" s="298"/>
      <c r="K35" s="362" t="s">
        <v>99</v>
      </c>
      <c r="L35" s="363"/>
      <c r="M35" s="364"/>
      <c r="N35" s="105">
        <v>10</v>
      </c>
      <c r="R35" s="10">
        <v>1033170</v>
      </c>
    </row>
    <row r="36" spans="1:18" ht="15">
      <c r="A36" s="6"/>
      <c r="B36" s="36"/>
      <c r="C36" s="36"/>
      <c r="D36" s="36"/>
      <c r="E36" s="36"/>
      <c r="F36" s="36"/>
      <c r="G36" s="36"/>
      <c r="H36" s="36"/>
      <c r="I36" s="37"/>
      <c r="J36" s="36"/>
      <c r="K36" s="38"/>
      <c r="L36" s="36"/>
      <c r="M36" s="36"/>
      <c r="N36" s="39"/>
      <c r="R36" s="1">
        <v>1273259</v>
      </c>
    </row>
    <row r="37" spans="1:14" ht="15.75" thickBot="1">
      <c r="A37" s="6"/>
      <c r="B37" s="36"/>
      <c r="C37" s="36"/>
      <c r="D37" s="36"/>
      <c r="E37" s="36"/>
      <c r="F37" s="36"/>
      <c r="G37" s="36"/>
      <c r="H37" s="36"/>
      <c r="I37" s="37"/>
      <c r="J37" s="36"/>
      <c r="K37" s="38"/>
      <c r="L37" s="36"/>
      <c r="M37" s="36"/>
      <c r="N37" s="39"/>
    </row>
    <row r="38" spans="1:14" ht="19.5" thickBot="1">
      <c r="A38" s="303" t="s">
        <v>26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5"/>
    </row>
    <row r="39" spans="1:16" s="10" customFormat="1" ht="45.75" thickBot="1">
      <c r="A39" s="306" t="s">
        <v>27</v>
      </c>
      <c r="B39" s="307"/>
      <c r="C39" s="308"/>
      <c r="D39" s="11" t="s">
        <v>28</v>
      </c>
      <c r="E39" s="309" t="s">
        <v>29</v>
      </c>
      <c r="F39" s="310"/>
      <c r="G39" s="309" t="s">
        <v>30</v>
      </c>
      <c r="H39" s="310"/>
      <c r="I39" s="274" t="s">
        <v>94</v>
      </c>
      <c r="J39" s="308"/>
      <c r="K39" s="274" t="s">
        <v>31</v>
      </c>
      <c r="L39" s="307"/>
      <c r="M39" s="274" t="s">
        <v>32</v>
      </c>
      <c r="N39" s="275"/>
      <c r="P39" s="23"/>
    </row>
    <row r="40" spans="1:16" s="10" customFormat="1" ht="15" customHeight="1" thickBot="1">
      <c r="A40" s="276" t="s">
        <v>82</v>
      </c>
      <c r="B40" s="236"/>
      <c r="C40" s="277"/>
      <c r="D40" s="111">
        <v>57714.46</v>
      </c>
      <c r="E40" s="278">
        <f>+O75</f>
        <v>12179.475199999997</v>
      </c>
      <c r="F40" s="279"/>
      <c r="G40" s="280">
        <f>+D40-E40</f>
        <v>45534.984800000006</v>
      </c>
      <c r="H40" s="281"/>
      <c r="I40" s="280" t="s">
        <v>100</v>
      </c>
      <c r="J40" s="280"/>
      <c r="K40" s="282">
        <f>SUM(G40:H41)</f>
        <v>50882.734800000006</v>
      </c>
      <c r="L40" s="283"/>
      <c r="M40" s="282">
        <f>SUM(D40:D41)</f>
        <v>63133.21</v>
      </c>
      <c r="N40" s="288"/>
      <c r="P40" s="23"/>
    </row>
    <row r="41" spans="1:16" s="10" customFormat="1" ht="15" customHeight="1" thickBot="1">
      <c r="A41" s="276" t="s">
        <v>83</v>
      </c>
      <c r="B41" s="236"/>
      <c r="C41" s="277"/>
      <c r="D41" s="112">
        <v>5418.75</v>
      </c>
      <c r="E41" s="291">
        <v>71</v>
      </c>
      <c r="F41" s="292"/>
      <c r="G41" s="269">
        <f>+D41-E41</f>
        <v>5347.75</v>
      </c>
      <c r="H41" s="293"/>
      <c r="I41" s="268" t="str">
        <f>IF(G41&gt;0,IF(G41&gt;3645.58,"CUMPLE","NO CUMPLE"),"")</f>
        <v>CUMPLE</v>
      </c>
      <c r="J41" s="269"/>
      <c r="K41" s="284"/>
      <c r="L41" s="285"/>
      <c r="M41" s="284"/>
      <c r="N41" s="289"/>
      <c r="P41" s="23"/>
    </row>
    <row r="42" spans="1:16" s="10" customFormat="1" ht="15.75" thickBot="1">
      <c r="A42" s="236"/>
      <c r="B42" s="236"/>
      <c r="C42" s="236"/>
      <c r="D42" s="113"/>
      <c r="E42" s="270"/>
      <c r="F42" s="270"/>
      <c r="G42" s="270"/>
      <c r="H42" s="270"/>
      <c r="I42" s="270"/>
      <c r="J42" s="270"/>
      <c r="K42" s="286"/>
      <c r="L42" s="287"/>
      <c r="M42" s="286"/>
      <c r="N42" s="290"/>
      <c r="P42" s="23"/>
    </row>
    <row r="43" spans="1:14" ht="36.75" customHeight="1">
      <c r="A43" s="98">
        <v>1</v>
      </c>
      <c r="B43" s="271" t="s">
        <v>95</v>
      </c>
      <c r="C43" s="272"/>
      <c r="D43" s="272"/>
      <c r="E43" s="272"/>
      <c r="F43" s="272"/>
      <c r="G43" s="272"/>
      <c r="H43" s="272"/>
      <c r="I43" s="273">
        <f>+PARAMETROS!F13</f>
        <v>9754.997825242719</v>
      </c>
      <c r="J43" s="273"/>
      <c r="K43" s="264"/>
      <c r="L43" s="265"/>
      <c r="M43" s="266" t="s">
        <v>20</v>
      </c>
      <c r="N43" s="267"/>
    </row>
    <row r="44" spans="1:14" ht="32.25" customHeight="1">
      <c r="A44" s="12">
        <v>2</v>
      </c>
      <c r="B44" s="252" t="s">
        <v>96</v>
      </c>
      <c r="C44" s="253"/>
      <c r="D44" s="253"/>
      <c r="E44" s="253"/>
      <c r="F44" s="253"/>
      <c r="G44" s="253"/>
      <c r="H44" s="253"/>
      <c r="I44" s="254">
        <f>+PARAMETROS!F12</f>
        <v>6503.331883495146</v>
      </c>
      <c r="J44" s="254"/>
      <c r="K44" s="255" t="s">
        <v>20</v>
      </c>
      <c r="L44" s="255"/>
      <c r="M44" s="256"/>
      <c r="N44" s="257"/>
    </row>
    <row r="45" spans="1:14" ht="39.75" customHeight="1">
      <c r="A45" s="12">
        <v>3</v>
      </c>
      <c r="B45" s="252" t="s">
        <v>65</v>
      </c>
      <c r="C45" s="253"/>
      <c r="D45" s="253"/>
      <c r="E45" s="253"/>
      <c r="F45" s="253"/>
      <c r="G45" s="253"/>
      <c r="H45" s="253"/>
      <c r="I45" s="254">
        <f>+I43*50%</f>
        <v>4877.4989126213595</v>
      </c>
      <c r="J45" s="254"/>
      <c r="K45" s="255"/>
      <c r="L45" s="255"/>
      <c r="M45" s="256" t="s">
        <v>20</v>
      </c>
      <c r="N45" s="257"/>
    </row>
    <row r="46" spans="1:14" ht="36.75" customHeight="1" thickBot="1">
      <c r="A46" s="13">
        <v>4</v>
      </c>
      <c r="B46" s="258" t="s">
        <v>66</v>
      </c>
      <c r="C46" s="259"/>
      <c r="D46" s="259"/>
      <c r="E46" s="259"/>
      <c r="F46" s="259"/>
      <c r="G46" s="259"/>
      <c r="H46" s="259"/>
      <c r="I46" s="260">
        <f>+I44*50%</f>
        <v>3251.665941747573</v>
      </c>
      <c r="J46" s="260"/>
      <c r="K46" s="261" t="s">
        <v>20</v>
      </c>
      <c r="L46" s="261"/>
      <c r="M46" s="262"/>
      <c r="N46" s="263"/>
    </row>
    <row r="48" spans="1:16" s="16" customFormat="1" ht="15">
      <c r="A48" s="14" t="s">
        <v>33</v>
      </c>
      <c r="B48" s="15"/>
      <c r="L48" s="17"/>
      <c r="M48" s="17"/>
      <c r="N48" s="18"/>
      <c r="P48" s="25"/>
    </row>
    <row r="49" spans="1:16" s="16" customFormat="1" ht="15">
      <c r="A49" s="14"/>
      <c r="B49" s="15"/>
      <c r="L49" s="17"/>
      <c r="M49" s="17"/>
      <c r="N49" s="18"/>
      <c r="P49" s="25"/>
    </row>
    <row r="50" spans="1:16" s="16" customFormat="1" ht="15">
      <c r="A50" s="14"/>
      <c r="B50" s="15"/>
      <c r="L50" s="17"/>
      <c r="M50" s="17"/>
      <c r="N50" s="18"/>
      <c r="P50" s="25"/>
    </row>
    <row r="51" spans="1:16" s="16" customFormat="1" ht="15">
      <c r="A51" s="14"/>
      <c r="B51" s="15"/>
      <c r="L51" s="17"/>
      <c r="M51" s="17"/>
      <c r="N51" s="18"/>
      <c r="P51" s="25"/>
    </row>
    <row r="52" spans="1:16" s="16" customFormat="1" ht="15">
      <c r="A52" s="14"/>
      <c r="B52" s="15"/>
      <c r="L52" s="17"/>
      <c r="M52" s="17"/>
      <c r="N52" s="18"/>
      <c r="P52" s="25"/>
    </row>
    <row r="53" spans="1:16" s="16" customFormat="1" ht="15">
      <c r="A53" s="19"/>
      <c r="B53" s="15"/>
      <c r="L53" s="17"/>
      <c r="M53" s="17"/>
      <c r="N53" s="18"/>
      <c r="P53" s="25"/>
    </row>
    <row r="54" spans="1:23" ht="15">
      <c r="A54" s="19"/>
      <c r="B54" s="15"/>
      <c r="C54" s="244" t="s">
        <v>134</v>
      </c>
      <c r="D54" s="244"/>
      <c r="E54" s="16"/>
      <c r="F54" s="244" t="s">
        <v>135</v>
      </c>
      <c r="G54" s="244"/>
      <c r="H54" s="16"/>
      <c r="I54" s="16"/>
      <c r="J54" s="244" t="s">
        <v>136</v>
      </c>
      <c r="K54" s="244"/>
      <c r="L54" s="244"/>
      <c r="M54" s="17"/>
      <c r="N54" s="18"/>
      <c r="T54" s="104"/>
      <c r="U54" s="109"/>
      <c r="V54" s="109"/>
      <c r="W54" s="109" t="e">
        <f>SUM(W14:W53)</f>
        <v>#REF!</v>
      </c>
    </row>
    <row r="55" spans="1:22" ht="15">
      <c r="A55" s="19"/>
      <c r="B55" s="15"/>
      <c r="C55" s="244" t="s">
        <v>130</v>
      </c>
      <c r="D55" s="244"/>
      <c r="E55" s="16"/>
      <c r="F55" s="244" t="s">
        <v>131</v>
      </c>
      <c r="G55" s="244"/>
      <c r="H55" s="16"/>
      <c r="I55" s="16"/>
      <c r="J55" s="244" t="s">
        <v>132</v>
      </c>
      <c r="K55" s="244"/>
      <c r="L55" s="244"/>
      <c r="M55" s="17"/>
      <c r="N55" s="18"/>
      <c r="T55" s="104"/>
      <c r="U55" s="16"/>
      <c r="V55" s="16"/>
    </row>
    <row r="56" spans="18:23" ht="15">
      <c r="R56" s="110"/>
      <c r="S56" s="110"/>
      <c r="T56" s="104"/>
      <c r="U56" s="109"/>
      <c r="V56" s="109"/>
      <c r="W56" s="109"/>
    </row>
    <row r="57" spans="18:23" ht="15">
      <c r="R57" s="110"/>
      <c r="S57" s="110"/>
      <c r="T57" s="104"/>
      <c r="U57" s="109"/>
      <c r="V57" s="109"/>
      <c r="W57" s="109"/>
    </row>
    <row r="58" spans="18:23" ht="15">
      <c r="R58" s="110">
        <v>2088.23</v>
      </c>
      <c r="S58" s="110">
        <v>0</v>
      </c>
      <c r="T58" s="104">
        <v>0.7</v>
      </c>
      <c r="U58" s="109">
        <f>+R58*T58</f>
        <v>1461.761</v>
      </c>
      <c r="V58" s="109">
        <f>+S58*T58</f>
        <v>0</v>
      </c>
      <c r="W58" s="109">
        <f>+U58-V58</f>
        <v>1461.761</v>
      </c>
    </row>
    <row r="59" spans="18:23" ht="15">
      <c r="R59" s="110">
        <v>776.63</v>
      </c>
      <c r="S59" s="110">
        <v>0</v>
      </c>
      <c r="T59" s="104">
        <v>0.165</v>
      </c>
      <c r="U59" s="109">
        <f>+R59*T59</f>
        <v>128.14395000000002</v>
      </c>
      <c r="V59" s="109">
        <f>+S59*T59</f>
        <v>0</v>
      </c>
      <c r="W59" s="109">
        <f>+U59-V59</f>
        <v>128.14395000000002</v>
      </c>
    </row>
    <row r="60" spans="18:23" ht="15">
      <c r="R60" s="110">
        <v>2394.97</v>
      </c>
      <c r="S60" s="110">
        <v>0</v>
      </c>
      <c r="T60" s="104">
        <v>0.25</v>
      </c>
      <c r="U60" s="109">
        <f>+R60*T60</f>
        <v>598.7425</v>
      </c>
      <c r="V60" s="109">
        <f>+S60*T60</f>
        <v>0</v>
      </c>
      <c r="W60" s="109">
        <f>+U60-V60</f>
        <v>598.7425</v>
      </c>
    </row>
    <row r="61" spans="20:23" ht="15">
      <c r="T61" s="104"/>
      <c r="U61" s="109"/>
      <c r="V61" s="109"/>
      <c r="W61" s="109">
        <f>SUM(W56:W60)</f>
        <v>2188.64745</v>
      </c>
    </row>
    <row r="62" spans="20:22" ht="15">
      <c r="T62" s="104"/>
      <c r="U62" s="16"/>
      <c r="V62" s="16"/>
    </row>
    <row r="63" spans="10:22" ht="15">
      <c r="J63" s="16"/>
      <c r="K63" s="16"/>
      <c r="L63" s="184"/>
      <c r="M63" s="17"/>
      <c r="N63" s="18"/>
      <c r="O63" s="183"/>
      <c r="T63" s="104"/>
      <c r="U63" s="16"/>
      <c r="V63" s="16"/>
    </row>
    <row r="64" spans="10:15" ht="15">
      <c r="J64" s="16"/>
      <c r="K64" s="16"/>
      <c r="L64" s="182"/>
      <c r="M64" s="17"/>
      <c r="N64" s="18"/>
      <c r="O64" s="183"/>
    </row>
    <row r="65" spans="9:15" ht="15">
      <c r="I65" s="16"/>
      <c r="J65" s="16">
        <v>8558.42</v>
      </c>
      <c r="K65" s="16">
        <v>8294.09</v>
      </c>
      <c r="L65" s="182">
        <v>0.7</v>
      </c>
      <c r="M65" s="17">
        <f aca="true" t="shared" si="0" ref="M65:M74">+J65*L65</f>
        <v>5990.893999999999</v>
      </c>
      <c r="N65" s="18">
        <f aca="true" t="shared" si="1" ref="N65:N74">+K65*L65</f>
        <v>5805.862999999999</v>
      </c>
      <c r="O65" s="183">
        <f aca="true" t="shared" si="2" ref="O65:O74">+M65-N65</f>
        <v>185.03099999999995</v>
      </c>
    </row>
    <row r="66" spans="9:15" ht="15">
      <c r="I66" s="16"/>
      <c r="J66" s="16">
        <v>4525.64</v>
      </c>
      <c r="K66" s="16">
        <v>1857.93</v>
      </c>
      <c r="L66" s="182">
        <v>1</v>
      </c>
      <c r="M66" s="17">
        <f t="shared" si="0"/>
        <v>4525.64</v>
      </c>
      <c r="N66" s="18">
        <f t="shared" si="1"/>
        <v>1857.93</v>
      </c>
      <c r="O66" s="183">
        <f t="shared" si="2"/>
        <v>2667.71</v>
      </c>
    </row>
    <row r="67" spans="9:23" ht="15">
      <c r="I67" s="16"/>
      <c r="J67" s="16">
        <v>1986.95</v>
      </c>
      <c r="K67" s="16">
        <v>0</v>
      </c>
      <c r="L67" s="182">
        <v>0.5</v>
      </c>
      <c r="M67" s="17">
        <f t="shared" si="0"/>
        <v>993.475</v>
      </c>
      <c r="N67" s="18">
        <f t="shared" si="1"/>
        <v>0</v>
      </c>
      <c r="O67" s="183">
        <f t="shared" si="2"/>
        <v>993.475</v>
      </c>
      <c r="R67" s="109">
        <v>20120.72</v>
      </c>
      <c r="S67" s="109">
        <v>12682.75</v>
      </c>
      <c r="T67" s="104">
        <v>1</v>
      </c>
      <c r="U67" s="109">
        <f>+R67*T67</f>
        <v>20120.72</v>
      </c>
      <c r="V67" s="109">
        <f>+S67*T67</f>
        <v>12682.75</v>
      </c>
      <c r="W67" s="109">
        <f>+U67-V67</f>
        <v>7437.970000000001</v>
      </c>
    </row>
    <row r="68" spans="9:23" ht="15">
      <c r="I68" s="16"/>
      <c r="J68" s="16">
        <v>9693.46</v>
      </c>
      <c r="K68" s="16">
        <v>5257.37</v>
      </c>
      <c r="L68" s="184">
        <v>0.5</v>
      </c>
      <c r="M68" s="17">
        <f t="shared" si="0"/>
        <v>4846.73</v>
      </c>
      <c r="N68" s="18">
        <f t="shared" si="1"/>
        <v>2628.685</v>
      </c>
      <c r="O68" s="183">
        <f t="shared" si="2"/>
        <v>2218.0449999999996</v>
      </c>
      <c r="R68" s="109">
        <v>1216.68</v>
      </c>
      <c r="S68" s="109">
        <v>202.44</v>
      </c>
      <c r="T68" s="104">
        <v>0.5</v>
      </c>
      <c r="U68" s="109">
        <f>+R68*T68</f>
        <v>608.34</v>
      </c>
      <c r="V68" s="109">
        <f>+S68*T68</f>
        <v>101.22</v>
      </c>
      <c r="W68" s="109">
        <f>+U68-V68</f>
        <v>507.12</v>
      </c>
    </row>
    <row r="69" spans="9:23" ht="15">
      <c r="I69" s="16"/>
      <c r="J69" s="16">
        <v>3994.74</v>
      </c>
      <c r="K69" s="16">
        <v>2102.5</v>
      </c>
      <c r="L69" s="182">
        <v>0.95</v>
      </c>
      <c r="M69" s="17">
        <f t="shared" si="0"/>
        <v>3795.0029999999997</v>
      </c>
      <c r="N69" s="18">
        <f t="shared" si="1"/>
        <v>1997.375</v>
      </c>
      <c r="O69" s="183">
        <f t="shared" si="2"/>
        <v>1797.6279999999997</v>
      </c>
      <c r="R69" s="16"/>
      <c r="S69" s="16"/>
      <c r="T69" s="104"/>
      <c r="U69" s="109"/>
      <c r="V69" s="109"/>
      <c r="W69" s="109">
        <f>SUM(W67:W68)</f>
        <v>7945.090000000001</v>
      </c>
    </row>
    <row r="70" spans="9:15" ht="15">
      <c r="I70" s="16"/>
      <c r="J70" s="16">
        <v>2650.03</v>
      </c>
      <c r="K70" s="16">
        <v>70.86</v>
      </c>
      <c r="L70" s="182">
        <v>0.86</v>
      </c>
      <c r="M70" s="17">
        <f t="shared" si="0"/>
        <v>2279.0258000000003</v>
      </c>
      <c r="N70" s="18">
        <f t="shared" si="1"/>
        <v>60.9396</v>
      </c>
      <c r="O70" s="183">
        <f t="shared" si="2"/>
        <v>2218.0862</v>
      </c>
    </row>
    <row r="71" spans="9:15" ht="15">
      <c r="I71" s="16"/>
      <c r="J71" s="16">
        <v>905.03</v>
      </c>
      <c r="K71" s="16">
        <v>541.5</v>
      </c>
      <c r="L71" s="182">
        <v>0.5</v>
      </c>
      <c r="M71" s="17">
        <f t="shared" si="0"/>
        <v>452.515</v>
      </c>
      <c r="N71" s="18">
        <f t="shared" si="1"/>
        <v>270.75</v>
      </c>
      <c r="O71" s="183">
        <f t="shared" si="2"/>
        <v>181.765</v>
      </c>
    </row>
    <row r="72" spans="9:15" ht="15">
      <c r="I72" s="20"/>
      <c r="J72" s="16">
        <v>2188.53</v>
      </c>
      <c r="K72" s="16">
        <v>0</v>
      </c>
      <c r="L72" s="182">
        <v>0.5</v>
      </c>
      <c r="M72" s="17">
        <f t="shared" si="0"/>
        <v>1094.265</v>
      </c>
      <c r="N72" s="18">
        <f t="shared" si="1"/>
        <v>0</v>
      </c>
      <c r="O72" s="183">
        <f t="shared" si="2"/>
        <v>1094.265</v>
      </c>
    </row>
    <row r="73" spans="9:15" ht="15">
      <c r="I73" s="20"/>
      <c r="J73" s="16">
        <v>525.99</v>
      </c>
      <c r="K73" s="16">
        <v>0</v>
      </c>
      <c r="L73" s="182">
        <v>1</v>
      </c>
      <c r="M73" s="17">
        <f t="shared" si="0"/>
        <v>525.99</v>
      </c>
      <c r="N73" s="18">
        <f t="shared" si="1"/>
        <v>0</v>
      </c>
      <c r="O73" s="183">
        <f t="shared" si="2"/>
        <v>525.99</v>
      </c>
    </row>
    <row r="74" spans="10:15" ht="15">
      <c r="J74" s="1">
        <v>297.48</v>
      </c>
      <c r="K74" s="3">
        <v>0</v>
      </c>
      <c r="L74" s="182">
        <v>1</v>
      </c>
      <c r="M74" s="1">
        <f t="shared" si="0"/>
        <v>297.48</v>
      </c>
      <c r="N74" s="3">
        <f t="shared" si="1"/>
        <v>0</v>
      </c>
      <c r="O74" s="1">
        <f t="shared" si="2"/>
        <v>297.48</v>
      </c>
    </row>
    <row r="75" ht="15">
      <c r="O75" s="161">
        <f>SUM(O65:O74)</f>
        <v>12179.475199999997</v>
      </c>
    </row>
    <row r="78" spans="10:15" ht="15">
      <c r="J78" s="16">
        <v>1833.95</v>
      </c>
      <c r="K78" s="16">
        <v>1777.3</v>
      </c>
      <c r="L78" s="182">
        <v>0.15</v>
      </c>
      <c r="M78" s="17">
        <f>+J78*L78</f>
        <v>275.0925</v>
      </c>
      <c r="N78" s="18">
        <f>+K78*L78</f>
        <v>266.59499999999997</v>
      </c>
      <c r="O78" s="183">
        <f>+M78-N78</f>
        <v>8.497500000000002</v>
      </c>
    </row>
    <row r="79" spans="10:15" ht="15">
      <c r="J79" s="16">
        <v>510.05</v>
      </c>
      <c r="K79" s="16">
        <v>447.82</v>
      </c>
      <c r="L79" s="182">
        <v>1</v>
      </c>
      <c r="M79" s="17">
        <f>+J79*L79</f>
        <v>510.05</v>
      </c>
      <c r="N79" s="18">
        <f>+K79*L79</f>
        <v>447.82</v>
      </c>
      <c r="O79" s="183">
        <f>+M79-N79</f>
        <v>62.23000000000002</v>
      </c>
    </row>
    <row r="80" spans="10:15" ht="15">
      <c r="J80" s="16"/>
      <c r="K80" s="16"/>
      <c r="L80" s="182"/>
      <c r="M80" s="17"/>
      <c r="N80" s="18"/>
      <c r="O80" s="183">
        <f>SUM(O78:O79)</f>
        <v>70.72750000000002</v>
      </c>
    </row>
  </sheetData>
  <sheetProtection/>
  <mergeCells count="91">
    <mergeCell ref="D10:D11"/>
    <mergeCell ref="E10:E11"/>
    <mergeCell ref="M10:N10"/>
    <mergeCell ref="A10:A11"/>
    <mergeCell ref="B10:B11"/>
    <mergeCell ref="K16:K17"/>
    <mergeCell ref="C10:C11"/>
    <mergeCell ref="B16:F16"/>
    <mergeCell ref="A6:B7"/>
    <mergeCell ref="G6:H6"/>
    <mergeCell ref="I6:J6"/>
    <mergeCell ref="G7:H7"/>
    <mergeCell ref="I7:J7"/>
    <mergeCell ref="C7:E7"/>
    <mergeCell ref="C6:E6"/>
    <mergeCell ref="A1:N1"/>
    <mergeCell ref="A2:N3"/>
    <mergeCell ref="C5:E5"/>
    <mergeCell ref="G5:H5"/>
    <mergeCell ref="I5:J5"/>
    <mergeCell ref="I15:J15"/>
    <mergeCell ref="M15:N17"/>
    <mergeCell ref="I16:I17"/>
    <mergeCell ref="J16:J17"/>
    <mergeCell ref="A9:N9"/>
    <mergeCell ref="M18:N19"/>
    <mergeCell ref="A33:N33"/>
    <mergeCell ref="A34:C34"/>
    <mergeCell ref="D34:E34"/>
    <mergeCell ref="F34:J34"/>
    <mergeCell ref="K34:M34"/>
    <mergeCell ref="C27:D27"/>
    <mergeCell ref="F27:G27"/>
    <mergeCell ref="J27:L27"/>
    <mergeCell ref="C28:D28"/>
    <mergeCell ref="G39:H39"/>
    <mergeCell ref="I39:J39"/>
    <mergeCell ref="K39:L39"/>
    <mergeCell ref="M39:N39"/>
    <mergeCell ref="A38:N38"/>
    <mergeCell ref="A35:C35"/>
    <mergeCell ref="D35:E35"/>
    <mergeCell ref="F35:J35"/>
    <mergeCell ref="K35:M35"/>
    <mergeCell ref="I42:J42"/>
    <mergeCell ref="K40:L42"/>
    <mergeCell ref="M40:N42"/>
    <mergeCell ref="G41:H41"/>
    <mergeCell ref="I41:J41"/>
    <mergeCell ref="G40:H40"/>
    <mergeCell ref="I40:J40"/>
    <mergeCell ref="G42:H42"/>
    <mergeCell ref="K43:L43"/>
    <mergeCell ref="M43:N43"/>
    <mergeCell ref="B44:H44"/>
    <mergeCell ref="I44:J44"/>
    <mergeCell ref="K44:L44"/>
    <mergeCell ref="M44:N44"/>
    <mergeCell ref="B43:H43"/>
    <mergeCell ref="I43:J43"/>
    <mergeCell ref="I46:J46"/>
    <mergeCell ref="K46:L46"/>
    <mergeCell ref="M46:N46"/>
    <mergeCell ref="B45:H45"/>
    <mergeCell ref="I45:J45"/>
    <mergeCell ref="K45:L45"/>
    <mergeCell ref="M45:N45"/>
    <mergeCell ref="B46:H46"/>
    <mergeCell ref="E42:F42"/>
    <mergeCell ref="A41:C41"/>
    <mergeCell ref="E41:F41"/>
    <mergeCell ref="A40:C40"/>
    <mergeCell ref="C54:D54"/>
    <mergeCell ref="E40:F40"/>
    <mergeCell ref="F28:G28"/>
    <mergeCell ref="A17:H17"/>
    <mergeCell ref="A18:H18"/>
    <mergeCell ref="L16:L17"/>
    <mergeCell ref="I18:J19"/>
    <mergeCell ref="K18:L19"/>
    <mergeCell ref="J28:L28"/>
    <mergeCell ref="A30:N30"/>
    <mergeCell ref="A31:N32"/>
    <mergeCell ref="F54:G54"/>
    <mergeCell ref="J54:L54"/>
    <mergeCell ref="C55:D55"/>
    <mergeCell ref="F55:G55"/>
    <mergeCell ref="J55:L55"/>
    <mergeCell ref="A39:C39"/>
    <mergeCell ref="E39:F39"/>
    <mergeCell ref="A42:C42"/>
  </mergeCells>
  <printOptions/>
  <pageMargins left="0.4" right="0.17" top="0.7" bottom="0.26" header="1.07" footer="1.62"/>
  <pageSetup horizontalDpi="300" verticalDpi="300" orientation="landscape" paperSize="14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W74"/>
  <sheetViews>
    <sheetView zoomScale="65" zoomScaleNormal="65" zoomScalePageLayoutView="0" workbookViewId="0" topLeftCell="D46">
      <selection activeCell="A30" sqref="A30:N57"/>
    </sheetView>
  </sheetViews>
  <sheetFormatPr defaultColWidth="11.421875" defaultRowHeight="15"/>
  <cols>
    <col min="1" max="1" width="6.140625" style="1" customWidth="1"/>
    <col min="2" max="2" width="21.00390625" style="1" customWidth="1"/>
    <col min="3" max="3" width="22.140625" style="1" bestFit="1" customWidth="1"/>
    <col min="4" max="4" width="21.421875" style="1" customWidth="1"/>
    <col min="5" max="5" width="10.8515625" style="1" customWidth="1"/>
    <col min="6" max="6" width="19.140625" style="1" customWidth="1"/>
    <col min="7" max="7" width="11.421875" style="1" customWidth="1"/>
    <col min="8" max="8" width="13.8515625" style="1" customWidth="1"/>
    <col min="9" max="9" width="24.57421875" style="2" customWidth="1"/>
    <col min="10" max="10" width="12.421875" style="1" bestFit="1" customWidth="1"/>
    <col min="11" max="11" width="13.00390625" style="3" customWidth="1"/>
    <col min="12" max="12" width="12.7109375" style="1" customWidth="1"/>
    <col min="13" max="13" width="12.8515625" style="1" customWidth="1"/>
    <col min="14" max="14" width="17.57421875" style="3" customWidth="1"/>
    <col min="15" max="15" width="12.8515625" style="1" bestFit="1" customWidth="1"/>
    <col min="16" max="16" width="12.28125" style="23" bestFit="1" customWidth="1"/>
    <col min="17" max="17" width="11.421875" style="1" customWidth="1"/>
    <col min="18" max="18" width="12.421875" style="1" bestFit="1" customWidth="1"/>
    <col min="19" max="19" width="11.421875" style="1" customWidth="1"/>
    <col min="20" max="20" width="26.57421875" style="1" customWidth="1"/>
    <col min="21" max="21" width="11.421875" style="1" customWidth="1"/>
    <col min="22" max="22" width="10.8515625" style="1" bestFit="1" customWidth="1"/>
    <col min="23" max="16384" width="11.421875" style="1" customWidth="1"/>
  </cols>
  <sheetData>
    <row r="1" spans="1:14" ht="18.75" customHeight="1">
      <c r="A1" s="245" t="s">
        <v>72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15" customHeight="1">
      <c r="A2" s="246" t="s">
        <v>73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20" ht="21" customHeight="1">
      <c r="A3" s="249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1"/>
      <c r="T3" s="1">
        <f>2307013684-231770224</f>
        <v>2075243460</v>
      </c>
    </row>
    <row r="4" ht="15.75" thickBot="1"/>
    <row r="5" spans="1:17" ht="24.75" customHeight="1" thickBot="1">
      <c r="A5" s="52" t="s">
        <v>0</v>
      </c>
      <c r="B5" s="53"/>
      <c r="C5" s="348" t="s">
        <v>80</v>
      </c>
      <c r="D5" s="349"/>
      <c r="E5" s="349"/>
      <c r="F5" s="54" t="s">
        <v>1</v>
      </c>
      <c r="G5" s="350" t="s">
        <v>2</v>
      </c>
      <c r="H5" s="351"/>
      <c r="I5" s="350" t="s">
        <v>42</v>
      </c>
      <c r="J5" s="351"/>
      <c r="Q5" s="26"/>
    </row>
    <row r="6" spans="1:17" ht="19.5" thickBot="1">
      <c r="A6" s="352" t="s">
        <v>3</v>
      </c>
      <c r="B6" s="353"/>
      <c r="C6" s="348" t="s">
        <v>80</v>
      </c>
      <c r="D6" s="349"/>
      <c r="E6" s="349"/>
      <c r="F6" s="97">
        <v>1</v>
      </c>
      <c r="G6" s="340" t="s">
        <v>61</v>
      </c>
      <c r="H6" s="341"/>
      <c r="I6" s="340" t="s">
        <v>20</v>
      </c>
      <c r="J6" s="341"/>
      <c r="Q6" s="26"/>
    </row>
    <row r="7" spans="1:17" ht="15.75" thickBot="1">
      <c r="A7" s="354"/>
      <c r="B7" s="355"/>
      <c r="C7" s="276"/>
      <c r="D7" s="236"/>
      <c r="E7" s="277"/>
      <c r="F7" s="97"/>
      <c r="G7" s="340"/>
      <c r="H7" s="341"/>
      <c r="I7" s="340"/>
      <c r="J7" s="341"/>
      <c r="Q7" s="26"/>
    </row>
    <row r="8" spans="1:16" s="47" customFormat="1" ht="15.75" thickBot="1">
      <c r="A8" s="94"/>
      <c r="B8" s="95"/>
      <c r="C8" s="96"/>
      <c r="D8" s="55"/>
      <c r="E8" s="55"/>
      <c r="F8" s="50"/>
      <c r="G8" s="46"/>
      <c r="H8" s="46"/>
      <c r="I8" s="46"/>
      <c r="J8" s="46"/>
      <c r="K8" s="51"/>
      <c r="N8" s="48"/>
      <c r="P8" s="49"/>
    </row>
    <row r="9" spans="1:14" ht="19.5" thickBot="1">
      <c r="A9" s="303" t="s">
        <v>4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5"/>
    </row>
    <row r="10" spans="1:20" s="5" customFormat="1" ht="45">
      <c r="A10" s="342" t="s">
        <v>5</v>
      </c>
      <c r="B10" s="344" t="s">
        <v>6</v>
      </c>
      <c r="C10" s="344" t="s">
        <v>7</v>
      </c>
      <c r="D10" s="344" t="s">
        <v>3</v>
      </c>
      <c r="E10" s="344" t="s">
        <v>8</v>
      </c>
      <c r="F10" s="4" t="s">
        <v>9</v>
      </c>
      <c r="G10" s="4" t="s">
        <v>10</v>
      </c>
      <c r="H10" s="4" t="s">
        <v>11</v>
      </c>
      <c r="I10" s="86" t="s">
        <v>12</v>
      </c>
      <c r="J10" s="87" t="s">
        <v>13</v>
      </c>
      <c r="K10" s="88" t="s">
        <v>34</v>
      </c>
      <c r="L10" s="87" t="s">
        <v>91</v>
      </c>
      <c r="M10" s="346" t="s">
        <v>14</v>
      </c>
      <c r="N10" s="347"/>
      <c r="P10" s="24"/>
      <c r="R10" s="5">
        <v>25450264</v>
      </c>
      <c r="T10" s="116">
        <v>2307013684</v>
      </c>
    </row>
    <row r="11" spans="1:20" s="5" customFormat="1" ht="15.75" thickBot="1">
      <c r="A11" s="343"/>
      <c r="B11" s="345"/>
      <c r="C11" s="345"/>
      <c r="D11" s="345"/>
      <c r="E11" s="345"/>
      <c r="F11" s="117">
        <v>1</v>
      </c>
      <c r="G11" s="117">
        <v>2</v>
      </c>
      <c r="H11" s="117">
        <v>3</v>
      </c>
      <c r="I11" s="118">
        <v>4</v>
      </c>
      <c r="J11" s="118">
        <v>5</v>
      </c>
      <c r="K11" s="119" t="s">
        <v>15</v>
      </c>
      <c r="L11" s="118">
        <v>6</v>
      </c>
      <c r="M11" s="118">
        <v>7</v>
      </c>
      <c r="N11" s="120">
        <v>8</v>
      </c>
      <c r="P11" s="24"/>
      <c r="R11" s="5">
        <v>32528257</v>
      </c>
      <c r="T11" s="61"/>
    </row>
    <row r="12" spans="1:18" ht="53.25" customHeight="1" thickBot="1">
      <c r="A12" s="133">
        <v>1</v>
      </c>
      <c r="B12" s="173" t="s">
        <v>78</v>
      </c>
      <c r="C12" s="138" t="s">
        <v>80</v>
      </c>
      <c r="D12" s="174" t="s">
        <v>79</v>
      </c>
      <c r="E12" s="180">
        <v>1</v>
      </c>
      <c r="F12" s="135">
        <v>1</v>
      </c>
      <c r="G12" s="175">
        <v>39440</v>
      </c>
      <c r="H12" s="175">
        <v>39606</v>
      </c>
      <c r="I12" s="131">
        <v>3420380000</v>
      </c>
      <c r="J12" s="89">
        <f>I12/PARAMETROS!B25</f>
        <v>7411.440953412784</v>
      </c>
      <c r="K12" s="89">
        <f>+F12*J12</f>
        <v>7411.440953412784</v>
      </c>
      <c r="L12" s="123" t="s">
        <v>20</v>
      </c>
      <c r="M12" s="125" t="s">
        <v>62</v>
      </c>
      <c r="N12" s="129" t="s">
        <v>20</v>
      </c>
      <c r="R12" s="1">
        <v>71150968</v>
      </c>
    </row>
    <row r="13" spans="1:20" ht="75.75" customHeight="1">
      <c r="A13" s="137">
        <v>2</v>
      </c>
      <c r="B13" s="167" t="s">
        <v>81</v>
      </c>
      <c r="C13" s="139" t="s">
        <v>80</v>
      </c>
      <c r="D13" s="172" t="s">
        <v>79</v>
      </c>
      <c r="E13" s="166">
        <v>1</v>
      </c>
      <c r="F13" s="141">
        <v>1</v>
      </c>
      <c r="G13" s="168">
        <v>38789</v>
      </c>
      <c r="H13" s="168">
        <v>39098</v>
      </c>
      <c r="I13" s="143">
        <v>2075243460</v>
      </c>
      <c r="J13" s="89">
        <f>I13/PARAMETROS!B24</f>
        <v>4784.974544616094</v>
      </c>
      <c r="K13" s="128">
        <f>+E13*J13</f>
        <v>4784.974544616094</v>
      </c>
      <c r="L13" s="142" t="s">
        <v>20</v>
      </c>
      <c r="M13" s="144" t="s">
        <v>62</v>
      </c>
      <c r="N13" s="145" t="s">
        <v>20</v>
      </c>
      <c r="R13" s="1">
        <v>1033170</v>
      </c>
      <c r="T13" s="116" t="e">
        <f>+I13-#REF!</f>
        <v>#REF!</v>
      </c>
    </row>
    <row r="14" spans="1:20" ht="56.25" customHeight="1" thickBot="1">
      <c r="A14" s="134">
        <v>3</v>
      </c>
      <c r="B14" s="176" t="s">
        <v>81</v>
      </c>
      <c r="C14" s="140" t="s">
        <v>80</v>
      </c>
      <c r="D14" s="177" t="s">
        <v>79</v>
      </c>
      <c r="E14" s="181">
        <v>1</v>
      </c>
      <c r="F14" s="136">
        <v>1</v>
      </c>
      <c r="G14" s="178">
        <v>38917</v>
      </c>
      <c r="H14" s="178">
        <v>39437</v>
      </c>
      <c r="I14" s="132">
        <v>2646038322</v>
      </c>
      <c r="J14" s="127">
        <f>I14/PARAMETROS!B24</f>
        <v>6101.079829375144</v>
      </c>
      <c r="K14" s="179">
        <f>+F14*J14</f>
        <v>6101.079829375144</v>
      </c>
      <c r="L14" s="124" t="s">
        <v>20</v>
      </c>
      <c r="M14" s="126" t="s">
        <v>62</v>
      </c>
      <c r="N14" s="130" t="s">
        <v>20</v>
      </c>
      <c r="R14" s="1">
        <v>280000</v>
      </c>
      <c r="T14" s="61" t="e">
        <f>SUM(#REF!)</f>
        <v>#REF!</v>
      </c>
    </row>
    <row r="15" spans="1:18" ht="15">
      <c r="A15" s="146" t="s">
        <v>17</v>
      </c>
      <c r="B15" s="36"/>
      <c r="C15" s="36"/>
      <c r="D15" s="36"/>
      <c r="E15" s="36"/>
      <c r="F15" s="36"/>
      <c r="G15" s="36"/>
      <c r="H15" s="147"/>
      <c r="I15" s="326" t="s">
        <v>18</v>
      </c>
      <c r="J15" s="327"/>
      <c r="K15" s="148">
        <f>SUM(K12:K14)</f>
        <v>18297.495327404024</v>
      </c>
      <c r="L15" s="149" t="s">
        <v>16</v>
      </c>
      <c r="M15" s="328"/>
      <c r="N15" s="329"/>
      <c r="R15" s="1">
        <v>1273259</v>
      </c>
    </row>
    <row r="16" spans="1:18" ht="27.75" customHeight="1">
      <c r="A16" s="108" t="s">
        <v>62</v>
      </c>
      <c r="B16" s="312" t="s">
        <v>93</v>
      </c>
      <c r="C16" s="312"/>
      <c r="D16" s="312"/>
      <c r="E16" s="312"/>
      <c r="F16" s="312"/>
      <c r="G16" s="114">
        <f>+PARAMETROS!B4</f>
        <v>3251.665941747573</v>
      </c>
      <c r="H16" s="115" t="s">
        <v>16</v>
      </c>
      <c r="I16" s="332" t="s">
        <v>19</v>
      </c>
      <c r="J16" s="334">
        <f>PARAMETROS!B6</f>
        <v>6503.331883495146</v>
      </c>
      <c r="K16" s="336">
        <f>+K15-J16</f>
        <v>11794.163443908878</v>
      </c>
      <c r="L16" s="338" t="s">
        <v>16</v>
      </c>
      <c r="M16" s="328"/>
      <c r="N16" s="329"/>
      <c r="R16" s="1">
        <v>3178308</v>
      </c>
    </row>
    <row r="17" spans="1:18" ht="31.5" customHeight="1" thickBot="1">
      <c r="A17" s="311"/>
      <c r="B17" s="312"/>
      <c r="C17" s="312"/>
      <c r="D17" s="312"/>
      <c r="E17" s="312"/>
      <c r="F17" s="312"/>
      <c r="G17" s="312"/>
      <c r="H17" s="313"/>
      <c r="I17" s="333"/>
      <c r="J17" s="335"/>
      <c r="K17" s="337"/>
      <c r="L17" s="339"/>
      <c r="M17" s="330"/>
      <c r="N17" s="331"/>
      <c r="R17" s="1">
        <v>516585</v>
      </c>
    </row>
    <row r="18" spans="1:20" ht="30.75" customHeight="1">
      <c r="A18" s="311"/>
      <c r="B18" s="312"/>
      <c r="C18" s="312"/>
      <c r="D18" s="312"/>
      <c r="E18" s="312"/>
      <c r="F18" s="312"/>
      <c r="G18" s="312"/>
      <c r="H18" s="313"/>
      <c r="I18" s="314" t="s">
        <v>21</v>
      </c>
      <c r="J18" s="315"/>
      <c r="K18" s="318">
        <f>IF(K16&lt;0,"",IF(ROUND(+K16/PARAMETROS!B7,0)&gt;3,150,ROUNDDOWN(+K16/PARAMETROS!B7,0)*30))</f>
        <v>150</v>
      </c>
      <c r="L18" s="319"/>
      <c r="M18" s="322" t="str">
        <f>IF(K15&gt;J16,"CUMPLE","NO CUMPLE")</f>
        <v>CUMPLE</v>
      </c>
      <c r="N18" s="323"/>
      <c r="R18" s="1">
        <v>1273259</v>
      </c>
      <c r="T18" s="161" t="e">
        <f>T10-#REF!</f>
        <v>#REF!</v>
      </c>
    </row>
    <row r="19" spans="1:18" ht="15.75" thickBot="1">
      <c r="A19" s="7"/>
      <c r="B19" s="8"/>
      <c r="C19" s="8"/>
      <c r="D19" s="8"/>
      <c r="E19" s="8"/>
      <c r="F19" s="8"/>
      <c r="G19" s="8"/>
      <c r="H19" s="9"/>
      <c r="I19" s="316"/>
      <c r="J19" s="317"/>
      <c r="K19" s="320"/>
      <c r="L19" s="321"/>
      <c r="M19" s="324"/>
      <c r="N19" s="325"/>
      <c r="R19" s="1">
        <v>3314046</v>
      </c>
    </row>
    <row r="20" spans="1:16" s="16" customFormat="1" ht="15">
      <c r="A20" s="14" t="s">
        <v>33</v>
      </c>
      <c r="B20" s="15"/>
      <c r="L20" s="17"/>
      <c r="M20" s="17"/>
      <c r="N20" s="18"/>
      <c r="P20" s="25"/>
    </row>
    <row r="21" spans="1:16" s="16" customFormat="1" ht="15">
      <c r="A21" s="14"/>
      <c r="B21" s="15"/>
      <c r="L21" s="17"/>
      <c r="M21" s="17"/>
      <c r="N21" s="18"/>
      <c r="P21" s="25"/>
    </row>
    <row r="22" spans="1:16" s="16" customFormat="1" ht="15">
      <c r="A22" s="14"/>
      <c r="B22" s="15"/>
      <c r="L22" s="17"/>
      <c r="M22" s="17"/>
      <c r="N22" s="18"/>
      <c r="P22" s="25"/>
    </row>
    <row r="23" spans="1:16" s="16" customFormat="1" ht="15">
      <c r="A23" s="14"/>
      <c r="B23" s="15"/>
      <c r="L23" s="17"/>
      <c r="M23" s="17"/>
      <c r="N23" s="18"/>
      <c r="P23" s="25"/>
    </row>
    <row r="24" spans="1:16" s="16" customFormat="1" ht="15">
      <c r="A24" s="14"/>
      <c r="B24" s="15"/>
      <c r="L24" s="17"/>
      <c r="M24" s="17"/>
      <c r="N24" s="18"/>
      <c r="P24" s="25"/>
    </row>
    <row r="25" spans="1:16" s="16" customFormat="1" ht="15">
      <c r="A25" s="19"/>
      <c r="B25" s="15"/>
      <c r="L25" s="17"/>
      <c r="M25" s="17"/>
      <c r="N25" s="18"/>
      <c r="P25" s="25"/>
    </row>
    <row r="26" spans="1:23" ht="15">
      <c r="A26" s="19"/>
      <c r="B26" s="15"/>
      <c r="C26" s="244" t="s">
        <v>134</v>
      </c>
      <c r="D26" s="244"/>
      <c r="E26" s="16"/>
      <c r="F26" s="244" t="s">
        <v>135</v>
      </c>
      <c r="G26" s="244"/>
      <c r="H26" s="16"/>
      <c r="I26" s="16"/>
      <c r="J26" s="244" t="s">
        <v>136</v>
      </c>
      <c r="K26" s="244"/>
      <c r="L26" s="244"/>
      <c r="M26" s="17"/>
      <c r="N26" s="18"/>
      <c r="T26" s="104"/>
      <c r="U26" s="109"/>
      <c r="V26" s="109"/>
      <c r="W26" s="109" t="e">
        <f>SUM(#REF!)</f>
        <v>#REF!</v>
      </c>
    </row>
    <row r="27" spans="1:22" ht="15">
      <c r="A27" s="19"/>
      <c r="B27" s="15"/>
      <c r="C27" s="244" t="s">
        <v>130</v>
      </c>
      <c r="D27" s="244"/>
      <c r="E27" s="16"/>
      <c r="F27" s="244" t="s">
        <v>131</v>
      </c>
      <c r="G27" s="244"/>
      <c r="H27" s="16"/>
      <c r="I27" s="16"/>
      <c r="J27" s="244" t="s">
        <v>132</v>
      </c>
      <c r="K27" s="244"/>
      <c r="L27" s="244"/>
      <c r="M27" s="17"/>
      <c r="N27" s="18"/>
      <c r="T27" s="104"/>
      <c r="U27" s="16"/>
      <c r="V27" s="16"/>
    </row>
    <row r="28" spans="1:22" ht="15">
      <c r="A28" s="19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8"/>
      <c r="T28" s="104"/>
      <c r="U28" s="16"/>
      <c r="V28" s="16"/>
    </row>
    <row r="29" spans="1:22" ht="15">
      <c r="A29" s="19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  <c r="N29" s="18"/>
      <c r="T29" s="104"/>
      <c r="U29" s="16"/>
      <c r="V29" s="16"/>
    </row>
    <row r="30" spans="1:14" ht="18.75" customHeight="1">
      <c r="A30" s="245" t="s">
        <v>72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</row>
    <row r="31" spans="1:14" ht="15" customHeight="1">
      <c r="A31" s="246" t="s">
        <v>73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8"/>
    </row>
    <row r="32" spans="1:20" ht="21" customHeight="1" thickBot="1">
      <c r="A32" s="249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1"/>
      <c r="T32" s="1">
        <f>2307013684-231770224</f>
        <v>2075243460</v>
      </c>
    </row>
    <row r="33" spans="1:18" ht="19.5" thickBot="1">
      <c r="A33" s="303" t="s">
        <v>70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5"/>
      <c r="R33" s="1">
        <v>516586</v>
      </c>
    </row>
    <row r="34" spans="1:18" s="10" customFormat="1" ht="15.75" thickBot="1">
      <c r="A34" s="369" t="s">
        <v>22</v>
      </c>
      <c r="B34" s="370"/>
      <c r="C34" s="370"/>
      <c r="D34" s="274" t="s">
        <v>23</v>
      </c>
      <c r="E34" s="308"/>
      <c r="F34" s="307" t="s">
        <v>24</v>
      </c>
      <c r="G34" s="307"/>
      <c r="H34" s="307"/>
      <c r="I34" s="307"/>
      <c r="J34" s="308"/>
      <c r="K34" s="370" t="s">
        <v>25</v>
      </c>
      <c r="L34" s="370"/>
      <c r="M34" s="274"/>
      <c r="N34" s="40" t="s">
        <v>21</v>
      </c>
      <c r="P34" s="23"/>
      <c r="R34" s="10">
        <v>9943264</v>
      </c>
    </row>
    <row r="35" spans="1:18" s="10" customFormat="1" ht="151.5" customHeight="1" thickBot="1">
      <c r="A35" s="294" t="s">
        <v>123</v>
      </c>
      <c r="B35" s="295"/>
      <c r="C35" s="296"/>
      <c r="D35" s="297" t="s">
        <v>124</v>
      </c>
      <c r="E35" s="298"/>
      <c r="F35" s="299" t="s">
        <v>125</v>
      </c>
      <c r="G35" s="299"/>
      <c r="H35" s="299"/>
      <c r="I35" s="299"/>
      <c r="J35" s="298"/>
      <c r="K35" s="362" t="s">
        <v>126</v>
      </c>
      <c r="L35" s="363"/>
      <c r="M35" s="364"/>
      <c r="N35" s="105">
        <v>10</v>
      </c>
      <c r="R35" s="10">
        <v>1033170</v>
      </c>
    </row>
    <row r="36" spans="1:18" ht="15">
      <c r="A36" s="6"/>
      <c r="B36" s="36"/>
      <c r="C36" s="36"/>
      <c r="D36" s="36"/>
      <c r="E36" s="36"/>
      <c r="F36" s="36"/>
      <c r="G36" s="36"/>
      <c r="H36" s="36"/>
      <c r="I36" s="37"/>
      <c r="J36" s="36"/>
      <c r="K36" s="38"/>
      <c r="L36" s="36"/>
      <c r="M36" s="36"/>
      <c r="N36" s="39"/>
      <c r="R36" s="1">
        <v>1273259</v>
      </c>
    </row>
    <row r="37" spans="1:14" ht="15.75" thickBot="1">
      <c r="A37" s="6"/>
      <c r="B37" s="36"/>
      <c r="C37" s="36"/>
      <c r="D37" s="36"/>
      <c r="E37" s="36"/>
      <c r="F37" s="36"/>
      <c r="G37" s="36"/>
      <c r="H37" s="36"/>
      <c r="I37" s="37"/>
      <c r="J37" s="36"/>
      <c r="K37" s="38"/>
      <c r="L37" s="36"/>
      <c r="M37" s="36"/>
      <c r="N37" s="39"/>
    </row>
    <row r="38" spans="1:14" ht="19.5" customHeight="1" thickBot="1">
      <c r="A38" s="303" t="s">
        <v>26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5"/>
    </row>
    <row r="39" spans="1:16" s="10" customFormat="1" ht="45.75" customHeight="1" thickBot="1">
      <c r="A39" s="306" t="s">
        <v>27</v>
      </c>
      <c r="B39" s="307"/>
      <c r="C39" s="308"/>
      <c r="D39" s="11" t="s">
        <v>28</v>
      </c>
      <c r="E39" s="274" t="s">
        <v>29</v>
      </c>
      <c r="F39" s="308"/>
      <c r="G39" s="274" t="s">
        <v>30</v>
      </c>
      <c r="H39" s="308"/>
      <c r="I39" s="274" t="s">
        <v>94</v>
      </c>
      <c r="J39" s="308"/>
      <c r="K39" s="274" t="s">
        <v>31</v>
      </c>
      <c r="L39" s="308"/>
      <c r="M39" s="274" t="s">
        <v>32</v>
      </c>
      <c r="N39" s="275"/>
      <c r="P39" s="23"/>
    </row>
    <row r="40" spans="1:16" s="10" customFormat="1" ht="15" customHeight="1">
      <c r="A40" s="348" t="s">
        <v>80</v>
      </c>
      <c r="B40" s="349"/>
      <c r="C40" s="349"/>
      <c r="D40" s="111">
        <v>76682.8</v>
      </c>
      <c r="E40" s="278">
        <v>2674</v>
      </c>
      <c r="F40" s="279"/>
      <c r="G40" s="280">
        <f>+D40-E40</f>
        <v>74008.8</v>
      </c>
      <c r="H40" s="281"/>
      <c r="I40" s="280" t="s">
        <v>20</v>
      </c>
      <c r="J40" s="280"/>
      <c r="K40" s="282">
        <f>SUM(G40:H41)</f>
        <v>74008.8</v>
      </c>
      <c r="L40" s="283"/>
      <c r="M40" s="282">
        <f>SUM(D40:D41)</f>
        <v>76682.8</v>
      </c>
      <c r="N40" s="288"/>
      <c r="P40" s="23"/>
    </row>
    <row r="41" spans="1:16" s="10" customFormat="1" ht="15" customHeight="1" thickBot="1">
      <c r="A41" s="359"/>
      <c r="B41" s="360"/>
      <c r="C41" s="361"/>
      <c r="D41" s="112"/>
      <c r="E41" s="291"/>
      <c r="F41" s="292"/>
      <c r="G41" s="269">
        <f>+D41-E41</f>
        <v>0</v>
      </c>
      <c r="H41" s="293"/>
      <c r="I41" s="268">
        <f>IF(G41&gt;0,IF(G41&gt;3645.58,"CUMPLE","NO CUMPLE"),"")</f>
      </c>
      <c r="J41" s="269"/>
      <c r="K41" s="284"/>
      <c r="L41" s="285"/>
      <c r="M41" s="284"/>
      <c r="N41" s="289"/>
      <c r="P41" s="23"/>
    </row>
    <row r="42" spans="1:16" s="10" customFormat="1" ht="15.75" thickBot="1">
      <c r="A42" s="236"/>
      <c r="B42" s="236"/>
      <c r="C42" s="236"/>
      <c r="D42" s="113"/>
      <c r="E42" s="270"/>
      <c r="F42" s="270"/>
      <c r="G42" s="270"/>
      <c r="H42" s="270"/>
      <c r="I42" s="270"/>
      <c r="J42" s="270"/>
      <c r="K42" s="286"/>
      <c r="L42" s="287"/>
      <c r="M42" s="286"/>
      <c r="N42" s="290"/>
      <c r="P42" s="23"/>
    </row>
    <row r="43" spans="1:14" ht="36.75" customHeight="1">
      <c r="A43" s="98">
        <v>1</v>
      </c>
      <c r="B43" s="271" t="s">
        <v>95</v>
      </c>
      <c r="C43" s="272"/>
      <c r="D43" s="272"/>
      <c r="E43" s="272"/>
      <c r="F43" s="272"/>
      <c r="G43" s="272"/>
      <c r="H43" s="272"/>
      <c r="I43" s="273">
        <f>+PARAMETROS!F13</f>
        <v>9754.997825242719</v>
      </c>
      <c r="J43" s="273"/>
      <c r="K43" s="264"/>
      <c r="L43" s="265"/>
      <c r="M43" s="266" t="s">
        <v>20</v>
      </c>
      <c r="N43" s="267"/>
    </row>
    <row r="44" spans="1:14" ht="32.25" customHeight="1">
      <c r="A44" s="12">
        <v>2</v>
      </c>
      <c r="B44" s="252" t="s">
        <v>96</v>
      </c>
      <c r="C44" s="253"/>
      <c r="D44" s="253"/>
      <c r="E44" s="253"/>
      <c r="F44" s="253"/>
      <c r="G44" s="253"/>
      <c r="H44" s="253"/>
      <c r="I44" s="254">
        <f>+PARAMETROS!F12</f>
        <v>6503.331883495146</v>
      </c>
      <c r="J44" s="254"/>
      <c r="K44" s="255" t="s">
        <v>20</v>
      </c>
      <c r="L44" s="255"/>
      <c r="M44" s="256"/>
      <c r="N44" s="257"/>
    </row>
    <row r="45" spans="1:14" ht="39.75" customHeight="1">
      <c r="A45" s="12">
        <v>3</v>
      </c>
      <c r="B45" s="252" t="s">
        <v>65</v>
      </c>
      <c r="C45" s="253"/>
      <c r="D45" s="253"/>
      <c r="E45" s="253"/>
      <c r="F45" s="253"/>
      <c r="G45" s="253"/>
      <c r="H45" s="253"/>
      <c r="I45" s="254">
        <f>+I43*50%</f>
        <v>4877.4989126213595</v>
      </c>
      <c r="J45" s="254"/>
      <c r="K45" s="255"/>
      <c r="L45" s="255"/>
      <c r="M45" s="256" t="s">
        <v>20</v>
      </c>
      <c r="N45" s="257"/>
    </row>
    <row r="46" spans="1:14" ht="36.75" customHeight="1" thickBot="1">
      <c r="A46" s="13">
        <v>4</v>
      </c>
      <c r="B46" s="258" t="s">
        <v>66</v>
      </c>
      <c r="C46" s="259"/>
      <c r="D46" s="259"/>
      <c r="E46" s="259"/>
      <c r="F46" s="259"/>
      <c r="G46" s="259"/>
      <c r="H46" s="259"/>
      <c r="I46" s="260">
        <f>+I44*50%</f>
        <v>3251.665941747573</v>
      </c>
      <c r="J46" s="260"/>
      <c r="K46" s="261" t="s">
        <v>20</v>
      </c>
      <c r="L46" s="261"/>
      <c r="M46" s="262"/>
      <c r="N46" s="263"/>
    </row>
    <row r="48" spans="1:16" s="16" customFormat="1" ht="15">
      <c r="A48" s="19"/>
      <c r="B48" s="15"/>
      <c r="L48" s="17"/>
      <c r="M48" s="17"/>
      <c r="N48" s="18"/>
      <c r="P48" s="25"/>
    </row>
    <row r="49" spans="1:16" s="16" customFormat="1" ht="15">
      <c r="A49" s="14" t="s">
        <v>33</v>
      </c>
      <c r="B49" s="15"/>
      <c r="L49" s="17"/>
      <c r="M49" s="17"/>
      <c r="N49" s="18"/>
      <c r="P49" s="25"/>
    </row>
    <row r="50" spans="1:16" s="16" customFormat="1" ht="15">
      <c r="A50" s="14"/>
      <c r="B50" s="15"/>
      <c r="L50" s="17"/>
      <c r="M50" s="17"/>
      <c r="N50" s="18"/>
      <c r="P50" s="25"/>
    </row>
    <row r="51" spans="1:16" s="16" customFormat="1" ht="15">
      <c r="A51" s="14"/>
      <c r="B51" s="15"/>
      <c r="L51" s="17"/>
      <c r="M51" s="17"/>
      <c r="N51" s="18"/>
      <c r="P51" s="25"/>
    </row>
    <row r="52" spans="1:16" s="16" customFormat="1" ht="15">
      <c r="A52" s="14"/>
      <c r="B52" s="15"/>
      <c r="L52" s="17"/>
      <c r="M52" s="17"/>
      <c r="N52" s="18"/>
      <c r="P52" s="25"/>
    </row>
    <row r="53" spans="1:16" s="16" customFormat="1" ht="15">
      <c r="A53" s="14"/>
      <c r="B53" s="15"/>
      <c r="L53" s="17"/>
      <c r="M53" s="17"/>
      <c r="N53" s="18"/>
      <c r="P53" s="25"/>
    </row>
    <row r="54" spans="1:16" s="16" customFormat="1" ht="15">
      <c r="A54" s="19"/>
      <c r="B54" s="15"/>
      <c r="L54" s="17"/>
      <c r="M54" s="17"/>
      <c r="N54" s="18"/>
      <c r="P54" s="25"/>
    </row>
    <row r="55" spans="1:23" ht="15">
      <c r="A55" s="19"/>
      <c r="B55" s="15"/>
      <c r="C55" s="244" t="s">
        <v>134</v>
      </c>
      <c r="D55" s="244"/>
      <c r="E55" s="16"/>
      <c r="F55" s="244" t="s">
        <v>135</v>
      </c>
      <c r="G55" s="244"/>
      <c r="H55" s="16"/>
      <c r="I55" s="16"/>
      <c r="J55" s="244" t="s">
        <v>136</v>
      </c>
      <c r="K55" s="244"/>
      <c r="L55" s="244"/>
      <c r="M55" s="17"/>
      <c r="N55" s="18"/>
      <c r="T55" s="104"/>
      <c r="U55" s="109"/>
      <c r="V55" s="109"/>
      <c r="W55" s="109" t="e">
        <f>SUM(#REF!)</f>
        <v>#REF!</v>
      </c>
    </row>
    <row r="56" spans="1:22" ht="15">
      <c r="A56" s="19"/>
      <c r="B56" s="15"/>
      <c r="C56" s="244" t="s">
        <v>130</v>
      </c>
      <c r="D56" s="244"/>
      <c r="E56" s="16"/>
      <c r="F56" s="244" t="s">
        <v>131</v>
      </c>
      <c r="G56" s="244"/>
      <c r="H56" s="16"/>
      <c r="I56" s="16"/>
      <c r="J56" s="244" t="s">
        <v>132</v>
      </c>
      <c r="K56" s="244"/>
      <c r="L56" s="244"/>
      <c r="M56" s="17"/>
      <c r="N56" s="18"/>
      <c r="T56" s="104"/>
      <c r="U56" s="16"/>
      <c r="V56" s="16"/>
    </row>
    <row r="57" spans="1:22" ht="15">
      <c r="A57" s="19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  <c r="N57" s="18"/>
      <c r="T57" s="104"/>
      <c r="U57" s="16"/>
      <c r="V57" s="16"/>
    </row>
    <row r="58" spans="18:23" ht="15">
      <c r="R58" s="110"/>
      <c r="S58" s="110"/>
      <c r="T58" s="104"/>
      <c r="U58" s="109"/>
      <c r="V58" s="109"/>
      <c r="W58" s="109"/>
    </row>
    <row r="59" spans="18:23" ht="15">
      <c r="R59" s="110">
        <v>2088.23</v>
      </c>
      <c r="S59" s="110">
        <v>0</v>
      </c>
      <c r="T59" s="104">
        <v>0.7</v>
      </c>
      <c r="U59" s="109">
        <f>+R59*T59</f>
        <v>1461.761</v>
      </c>
      <c r="V59" s="109">
        <f>+S59*T59</f>
        <v>0</v>
      </c>
      <c r="W59" s="109">
        <f>+U59-V59</f>
        <v>1461.761</v>
      </c>
    </row>
    <row r="60" spans="18:23" ht="15">
      <c r="R60" s="110">
        <v>776.63</v>
      </c>
      <c r="S60" s="110">
        <v>0</v>
      </c>
      <c r="T60" s="104">
        <v>0.165</v>
      </c>
      <c r="U60" s="109">
        <f>+R60*T60</f>
        <v>128.14395000000002</v>
      </c>
      <c r="V60" s="109">
        <f>+S60*T60</f>
        <v>0</v>
      </c>
      <c r="W60" s="109">
        <f>+U60-V60</f>
        <v>128.14395000000002</v>
      </c>
    </row>
    <row r="61" spans="18:23" ht="15">
      <c r="R61" s="110">
        <v>2394.97</v>
      </c>
      <c r="S61" s="110">
        <v>0</v>
      </c>
      <c r="T61" s="104">
        <v>0.25</v>
      </c>
      <c r="U61" s="109">
        <f>+R61*T61</f>
        <v>598.7425</v>
      </c>
      <c r="V61" s="109">
        <f>+S61*T61</f>
        <v>0</v>
      </c>
      <c r="W61" s="109">
        <f>+U61-V61</f>
        <v>598.7425</v>
      </c>
    </row>
    <row r="62" spans="20:23" ht="15">
      <c r="T62" s="104"/>
      <c r="U62" s="109"/>
      <c r="V62" s="109"/>
      <c r="W62" s="109" t="e">
        <f>SUM(W51:W61)</f>
        <v>#REF!</v>
      </c>
    </row>
    <row r="63" spans="4:22" ht="15">
      <c r="D63" s="16">
        <v>8768.63</v>
      </c>
      <c r="E63" s="16">
        <v>5863.44</v>
      </c>
      <c r="F63" s="182">
        <v>0.36</v>
      </c>
      <c r="G63" s="17">
        <f aca="true" t="shared" si="0" ref="G63:G68">+D63*F63</f>
        <v>3156.7067999999995</v>
      </c>
      <c r="H63" s="18">
        <f aca="true" t="shared" si="1" ref="H63:H68">+E63*F63</f>
        <v>2110.8383999999996</v>
      </c>
      <c r="I63" s="183">
        <f aca="true" t="shared" si="2" ref="I63:I68">+G63-H63</f>
        <v>1045.8683999999998</v>
      </c>
      <c r="T63" s="104"/>
      <c r="U63" s="16"/>
      <c r="V63" s="16"/>
    </row>
    <row r="64" spans="4:22" ht="15">
      <c r="D64" s="16">
        <v>199.26</v>
      </c>
      <c r="E64" s="16">
        <v>113.41</v>
      </c>
      <c r="F64" s="182">
        <v>1</v>
      </c>
      <c r="G64" s="17">
        <f t="shared" si="0"/>
        <v>199.26</v>
      </c>
      <c r="H64" s="18">
        <f t="shared" si="1"/>
        <v>113.41</v>
      </c>
      <c r="I64" s="183">
        <f t="shared" si="2"/>
        <v>85.85</v>
      </c>
      <c r="T64" s="104"/>
      <c r="U64" s="16"/>
      <c r="V64" s="16"/>
    </row>
    <row r="65" spans="4:9" ht="15">
      <c r="D65" s="16">
        <v>2071.16</v>
      </c>
      <c r="E65" s="16">
        <v>0</v>
      </c>
      <c r="F65" s="182">
        <v>0.5</v>
      </c>
      <c r="G65" s="17">
        <f t="shared" si="0"/>
        <v>1035.58</v>
      </c>
      <c r="H65" s="18">
        <f t="shared" si="1"/>
        <v>0</v>
      </c>
      <c r="I65" s="183">
        <f t="shared" si="2"/>
        <v>1035.58</v>
      </c>
    </row>
    <row r="66" spans="4:9" ht="15">
      <c r="D66" s="16">
        <v>118.24</v>
      </c>
      <c r="E66" s="16">
        <v>0</v>
      </c>
      <c r="F66" s="184">
        <v>1</v>
      </c>
      <c r="G66" s="17">
        <f t="shared" si="0"/>
        <v>118.24</v>
      </c>
      <c r="H66" s="18">
        <f t="shared" si="1"/>
        <v>0</v>
      </c>
      <c r="I66" s="183">
        <f t="shared" si="2"/>
        <v>118.24</v>
      </c>
    </row>
    <row r="67" spans="4:9" ht="15">
      <c r="D67" s="16">
        <v>280.71</v>
      </c>
      <c r="E67" s="16">
        <v>0</v>
      </c>
      <c r="F67" s="182">
        <v>1</v>
      </c>
      <c r="G67" s="17">
        <f t="shared" si="0"/>
        <v>280.71</v>
      </c>
      <c r="H67" s="18">
        <f t="shared" si="1"/>
        <v>0</v>
      </c>
      <c r="I67" s="183">
        <f t="shared" si="2"/>
        <v>280.71</v>
      </c>
    </row>
    <row r="68" spans="4:23" ht="15">
      <c r="D68" s="16">
        <v>107.74</v>
      </c>
      <c r="E68" s="16">
        <v>0</v>
      </c>
      <c r="F68" s="182">
        <v>1</v>
      </c>
      <c r="G68" s="17">
        <f t="shared" si="0"/>
        <v>107.74</v>
      </c>
      <c r="H68" s="18">
        <f t="shared" si="1"/>
        <v>0</v>
      </c>
      <c r="I68" s="183">
        <f t="shared" si="2"/>
        <v>107.74</v>
      </c>
      <c r="R68" s="109">
        <v>20120.72</v>
      </c>
      <c r="S68" s="109">
        <v>12682.75</v>
      </c>
      <c r="T68" s="104">
        <v>1</v>
      </c>
      <c r="U68" s="109">
        <f>+R68*T68</f>
        <v>20120.72</v>
      </c>
      <c r="V68" s="109">
        <f>+S68*T68</f>
        <v>12682.75</v>
      </c>
      <c r="W68" s="109">
        <f>+U68-V68</f>
        <v>7437.970000000001</v>
      </c>
    </row>
    <row r="69" spans="4:23" ht="15">
      <c r="D69" s="16"/>
      <c r="E69" s="16"/>
      <c r="F69" s="182"/>
      <c r="G69" s="17"/>
      <c r="H69" s="18"/>
      <c r="I69" s="183"/>
      <c r="R69" s="109">
        <v>1216.68</v>
      </c>
      <c r="S69" s="109">
        <v>202.44</v>
      </c>
      <c r="T69" s="104">
        <v>0.5</v>
      </c>
      <c r="U69" s="109">
        <f>+R69*T69</f>
        <v>608.34</v>
      </c>
      <c r="V69" s="109">
        <f>+S69*T69</f>
        <v>101.22</v>
      </c>
      <c r="W69" s="109">
        <f>+U69-V69</f>
        <v>507.12</v>
      </c>
    </row>
    <row r="70" spans="4:23" ht="15">
      <c r="D70" s="16"/>
      <c r="E70" s="16"/>
      <c r="F70" s="182"/>
      <c r="G70" s="17"/>
      <c r="H70" s="18"/>
      <c r="I70" s="183">
        <f>SUM(I63:I69)</f>
        <v>2673.9883999999993</v>
      </c>
      <c r="R70" s="16"/>
      <c r="S70" s="16"/>
      <c r="T70" s="104"/>
      <c r="U70" s="109"/>
      <c r="V70" s="109"/>
      <c r="W70" s="109">
        <f>SUM(W68:W69)</f>
        <v>7945.090000000001</v>
      </c>
    </row>
    <row r="71" spans="4:9" ht="15">
      <c r="D71" s="16"/>
      <c r="E71" s="16"/>
      <c r="F71" s="182"/>
      <c r="G71" s="17"/>
      <c r="H71" s="18"/>
      <c r="I71" s="183"/>
    </row>
    <row r="72" spans="5:9" ht="15">
      <c r="E72" s="3"/>
      <c r="F72" s="182"/>
      <c r="H72" s="3"/>
      <c r="I72" s="1"/>
    </row>
    <row r="73" spans="5:9" ht="15">
      <c r="E73" s="3"/>
      <c r="H73" s="3"/>
      <c r="I73" s="161">
        <f>SUM(I63:I72)</f>
        <v>5347.976799999999</v>
      </c>
    </row>
    <row r="74" spans="5:9" ht="15">
      <c r="E74" s="3"/>
      <c r="H74" s="3"/>
      <c r="I74" s="1"/>
    </row>
  </sheetData>
  <sheetProtection/>
  <mergeCells count="91">
    <mergeCell ref="A1:N1"/>
    <mergeCell ref="A2:N3"/>
    <mergeCell ref="A9:N9"/>
    <mergeCell ref="A10:A11"/>
    <mergeCell ref="B10:B11"/>
    <mergeCell ref="C10:C11"/>
    <mergeCell ref="D10:D11"/>
    <mergeCell ref="E10:E11"/>
    <mergeCell ref="M10:N10"/>
    <mergeCell ref="C5:E5"/>
    <mergeCell ref="I15:J15"/>
    <mergeCell ref="M15:N17"/>
    <mergeCell ref="B16:F16"/>
    <mergeCell ref="I16:I17"/>
    <mergeCell ref="J16:J17"/>
    <mergeCell ref="K16:K17"/>
    <mergeCell ref="L16:L17"/>
    <mergeCell ref="A17:H17"/>
    <mergeCell ref="A18:H18"/>
    <mergeCell ref="I18:J19"/>
    <mergeCell ref="K18:L19"/>
    <mergeCell ref="M18:N19"/>
    <mergeCell ref="A33:N33"/>
    <mergeCell ref="A34:C34"/>
    <mergeCell ref="D34:E34"/>
    <mergeCell ref="F34:J34"/>
    <mergeCell ref="K34:M34"/>
    <mergeCell ref="C26:D26"/>
    <mergeCell ref="A35:C35"/>
    <mergeCell ref="D35:E35"/>
    <mergeCell ref="F35:J35"/>
    <mergeCell ref="K35:M35"/>
    <mergeCell ref="A38:N38"/>
    <mergeCell ref="A39:C39"/>
    <mergeCell ref="E39:F39"/>
    <mergeCell ref="G39:H39"/>
    <mergeCell ref="I39:J39"/>
    <mergeCell ref="K39:L39"/>
    <mergeCell ref="M39:N39"/>
    <mergeCell ref="A40:C40"/>
    <mergeCell ref="E40:F40"/>
    <mergeCell ref="G40:H40"/>
    <mergeCell ref="I40:J40"/>
    <mergeCell ref="K40:L42"/>
    <mergeCell ref="M40:N42"/>
    <mergeCell ref="A41:C41"/>
    <mergeCell ref="E41:F41"/>
    <mergeCell ref="G41:H41"/>
    <mergeCell ref="I41:J41"/>
    <mergeCell ref="A42:C42"/>
    <mergeCell ref="E42:F42"/>
    <mergeCell ref="G42:H42"/>
    <mergeCell ref="I42:J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G5:H5"/>
    <mergeCell ref="I5:J5"/>
    <mergeCell ref="A6:B7"/>
    <mergeCell ref="C6:E6"/>
    <mergeCell ref="G6:H6"/>
    <mergeCell ref="I6:J6"/>
    <mergeCell ref="C7:E7"/>
    <mergeCell ref="G7:H7"/>
    <mergeCell ref="I7:J7"/>
    <mergeCell ref="C55:D55"/>
    <mergeCell ref="F55:G55"/>
    <mergeCell ref="J55:L55"/>
    <mergeCell ref="C56:D56"/>
    <mergeCell ref="F56:G56"/>
    <mergeCell ref="J56:L56"/>
    <mergeCell ref="A30:N30"/>
    <mergeCell ref="A31:N32"/>
    <mergeCell ref="F26:G26"/>
    <mergeCell ref="J26:L26"/>
    <mergeCell ref="C27:D27"/>
    <mergeCell ref="F27:G27"/>
    <mergeCell ref="J27:L27"/>
  </mergeCells>
  <printOptions/>
  <pageMargins left="0.4" right="0.17" top="0.7" bottom="0.26" header="1.07" footer="1.62"/>
  <pageSetup horizontalDpi="300" verticalDpi="300" orientation="landscape" paperSize="14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diana.espinosa</cp:lastModifiedBy>
  <cp:lastPrinted>2010-07-16T20:27:20Z</cp:lastPrinted>
  <dcterms:created xsi:type="dcterms:W3CDTF">2009-04-20T13:51:38Z</dcterms:created>
  <dcterms:modified xsi:type="dcterms:W3CDTF">2010-08-10T15:27:34Z</dcterms:modified>
  <cp:category/>
  <cp:version/>
  <cp:contentType/>
  <cp:contentStatus/>
</cp:coreProperties>
</file>