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UIS MACANA\Desktop\CONTRATOS\1 SEGURIDAD INTEGRAL\1 GUARDAS\4. CORRECCION 14FEB2024\"/>
    </mc:Choice>
  </mc:AlternateContent>
  <xr:revisionPtr revIDLastSave="0" documentId="11_E77BBAF5A02067B7BD714D3A7A7F4B7D4C958337" xr6:coauthVersionLast="47" xr6:coauthVersionMax="47" xr10:uidLastSave="{00000000-0000-0000-0000-000000000000}"/>
  <bookViews>
    <workbookView xWindow="0" yWindow="0" windowWidth="9825" windowHeight="2700" xr2:uid="{00000000-000D-0000-FFFF-FFFF00000000}"/>
  </bookViews>
  <sheets>
    <sheet name="Calendario Academico 2024-2025" sheetId="1" r:id="rId1"/>
  </sheets>
  <definedNames>
    <definedName name="_xlnm.Print_Area" localSheetId="0">'Calendario Academico 2024-2025'!$A$1:$N$129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0" i="1"/>
  <c r="L11" i="1"/>
  <c r="L114" i="1" l="1"/>
  <c r="L91" i="1"/>
  <c r="L84" i="1"/>
  <c r="L80" i="1"/>
  <c r="L75" i="1"/>
  <c r="L53" i="1"/>
  <c r="L16" i="1"/>
  <c r="L102" i="1" l="1"/>
  <c r="L38" i="1"/>
  <c r="Q137" i="1"/>
  <c r="R137" i="1" s="1"/>
  <c r="L125" i="1"/>
  <c r="J125" i="1"/>
  <c r="L124" i="1"/>
  <c r="J124" i="1"/>
  <c r="J123" i="1"/>
  <c r="L123" i="1" s="1"/>
  <c r="G68" i="1"/>
  <c r="I68" i="1" s="1"/>
  <c r="I67" i="1"/>
  <c r="L61" i="1"/>
  <c r="J61" i="1"/>
  <c r="L60" i="1"/>
  <c r="J60" i="1"/>
  <c r="L59" i="1"/>
  <c r="L62" i="1" s="1"/>
  <c r="J59" i="1"/>
  <c r="G40" i="1"/>
  <c r="D40" i="1"/>
  <c r="J40" i="1" s="1"/>
  <c r="K40" i="1" s="1"/>
  <c r="L40" i="1" s="1"/>
  <c r="G38" i="1"/>
  <c r="J39" i="1" s="1"/>
  <c r="K39" i="1" s="1"/>
  <c r="D38" i="1"/>
  <c r="J38" i="1" s="1"/>
  <c r="K38" i="1" s="1"/>
  <c r="D37" i="1"/>
  <c r="D13" i="1"/>
  <c r="G13" i="1" s="1"/>
  <c r="D11" i="1"/>
  <c r="I5" i="1"/>
  <c r="L126" i="1" l="1"/>
  <c r="Q136" i="1"/>
  <c r="R136" i="1" s="1"/>
  <c r="S136" i="1" s="1"/>
  <c r="T136" i="1" s="1"/>
  <c r="S137" i="1"/>
  <c r="T137" i="1" s="1"/>
  <c r="D51" i="1"/>
  <c r="D46" i="1"/>
  <c r="D34" i="1"/>
  <c r="D54" i="1"/>
  <c r="D50" i="1"/>
  <c r="D45" i="1"/>
  <c r="D33" i="1"/>
  <c r="D18" i="1"/>
  <c r="D16" i="1"/>
  <c r="D53" i="1"/>
  <c r="D48" i="1"/>
  <c r="D44" i="1"/>
  <c r="D29" i="1"/>
  <c r="D27" i="1"/>
  <c r="D52" i="1"/>
  <c r="D47" i="1"/>
  <c r="D35" i="1"/>
  <c r="D26" i="1"/>
  <c r="D14" i="1"/>
  <c r="D22" i="1"/>
  <c r="J12" i="1"/>
  <c r="K12" i="1" s="1"/>
  <c r="G11" i="1"/>
  <c r="D117" i="1"/>
  <c r="D111" i="1"/>
  <c r="D104" i="1"/>
  <c r="D102" i="1"/>
  <c r="D93" i="1"/>
  <c r="D91" i="1"/>
  <c r="D79" i="1"/>
  <c r="D116" i="1"/>
  <c r="D115" i="1"/>
  <c r="D110" i="1"/>
  <c r="D101" i="1"/>
  <c r="D99" i="1"/>
  <c r="D90" i="1"/>
  <c r="D78" i="1"/>
  <c r="D114" i="1"/>
  <c r="D109" i="1"/>
  <c r="D98" i="1"/>
  <c r="D86" i="1"/>
  <c r="D84" i="1"/>
  <c r="D77" i="1"/>
  <c r="D75" i="1"/>
  <c r="D118" i="1"/>
  <c r="D112" i="1"/>
  <c r="D108" i="1"/>
  <c r="D97" i="1"/>
  <c r="D82" i="1"/>
  <c r="D80" i="1"/>
  <c r="J11" i="1"/>
  <c r="K11" i="1" s="1"/>
  <c r="J13" i="1"/>
  <c r="K13" i="1" s="1"/>
  <c r="L13" i="1" s="1"/>
  <c r="D15" i="1"/>
  <c r="D20" i="1"/>
  <c r="G37" i="1"/>
  <c r="J37" i="1" s="1"/>
  <c r="K37" i="1" s="1"/>
  <c r="L37" i="1" s="1"/>
  <c r="G97" i="1" l="1"/>
  <c r="J97" i="1" s="1"/>
  <c r="K97" i="1" s="1"/>
  <c r="L97" i="1" s="1"/>
  <c r="G75" i="1"/>
  <c r="J75" i="1" s="1"/>
  <c r="K75" i="1" s="1"/>
  <c r="G98" i="1"/>
  <c r="J98" i="1" s="1"/>
  <c r="K98" i="1" s="1"/>
  <c r="L98" i="1" s="1"/>
  <c r="G90" i="1"/>
  <c r="J90" i="1"/>
  <c r="K90" i="1" s="1"/>
  <c r="L90" i="1" s="1"/>
  <c r="G93" i="1"/>
  <c r="J93" i="1" s="1"/>
  <c r="K93" i="1" s="1"/>
  <c r="L93" i="1" s="1"/>
  <c r="G117" i="1"/>
  <c r="J117" i="1" s="1"/>
  <c r="K117" i="1" s="1"/>
  <c r="L117" i="1" s="1"/>
  <c r="G22" i="1"/>
  <c r="J22" i="1" s="1"/>
  <c r="K22" i="1" s="1"/>
  <c r="L22" i="1" s="1"/>
  <c r="G47" i="1"/>
  <c r="J47" i="1" s="1"/>
  <c r="K47" i="1" s="1"/>
  <c r="L47" i="1" s="1"/>
  <c r="G44" i="1"/>
  <c r="J44" i="1" s="1"/>
  <c r="K44" i="1" s="1"/>
  <c r="L44" i="1" s="1"/>
  <c r="G18" i="1"/>
  <c r="J18" i="1" s="1"/>
  <c r="K18" i="1" s="1"/>
  <c r="L18" i="1" s="1"/>
  <c r="G108" i="1"/>
  <c r="J108" i="1" s="1"/>
  <c r="K108" i="1" s="1"/>
  <c r="L108" i="1" s="1"/>
  <c r="G77" i="1"/>
  <c r="J77" i="1" s="1"/>
  <c r="K77" i="1" s="1"/>
  <c r="L77" i="1" s="1"/>
  <c r="G109" i="1"/>
  <c r="J109" i="1" s="1"/>
  <c r="K109" i="1" s="1"/>
  <c r="L109" i="1" s="1"/>
  <c r="G99" i="1"/>
  <c r="J100" i="1" s="1"/>
  <c r="K100" i="1" s="1"/>
  <c r="G116" i="1"/>
  <c r="J116" i="1" s="1"/>
  <c r="K116" i="1" s="1"/>
  <c r="L116" i="1" s="1"/>
  <c r="G102" i="1"/>
  <c r="J102" i="1" s="1"/>
  <c r="K102" i="1" s="1"/>
  <c r="G14" i="1"/>
  <c r="J14" i="1" s="1"/>
  <c r="K14" i="1" s="1"/>
  <c r="L14" i="1" s="1"/>
  <c r="G52" i="1"/>
  <c r="J52" i="1" s="1"/>
  <c r="K52" i="1" s="1"/>
  <c r="L52" i="1" s="1"/>
  <c r="G48" i="1"/>
  <c r="J48" i="1" s="1"/>
  <c r="K48" i="1" s="1"/>
  <c r="L48" i="1" s="1"/>
  <c r="G33" i="1"/>
  <c r="J33" i="1"/>
  <c r="K33" i="1" s="1"/>
  <c r="L33" i="1" s="1"/>
  <c r="G34" i="1"/>
  <c r="J34" i="1" s="1"/>
  <c r="K34" i="1" s="1"/>
  <c r="L34" i="1" s="1"/>
  <c r="J21" i="1"/>
  <c r="K21" i="1" s="1"/>
  <c r="G20" i="1"/>
  <c r="J20" i="1" s="1"/>
  <c r="K20" i="1" s="1"/>
  <c r="G80" i="1"/>
  <c r="J80" i="1" s="1"/>
  <c r="K80" i="1" s="1"/>
  <c r="G112" i="1"/>
  <c r="J112" i="1" s="1"/>
  <c r="K112" i="1" s="1"/>
  <c r="L112" i="1" s="1"/>
  <c r="J85" i="1"/>
  <c r="K85" i="1" s="1"/>
  <c r="G84" i="1"/>
  <c r="J84" i="1" s="1"/>
  <c r="K84" i="1" s="1"/>
  <c r="G114" i="1"/>
  <c r="J115" i="1" s="1"/>
  <c r="K115" i="1" s="1"/>
  <c r="G101" i="1"/>
  <c r="J101" i="1"/>
  <c r="K101" i="1" s="1"/>
  <c r="L101" i="1" s="1"/>
  <c r="G79" i="1"/>
  <c r="J79" i="1" s="1"/>
  <c r="K79" i="1" s="1"/>
  <c r="L79" i="1" s="1"/>
  <c r="G104" i="1"/>
  <c r="J104" i="1" s="1"/>
  <c r="K104" i="1" s="1"/>
  <c r="L104" i="1" s="1"/>
  <c r="G26" i="1"/>
  <c r="J26" i="1" s="1"/>
  <c r="K26" i="1" s="1"/>
  <c r="L26" i="1" s="1"/>
  <c r="G27" i="1"/>
  <c r="J28" i="1" s="1"/>
  <c r="K28" i="1" s="1"/>
  <c r="J54" i="1"/>
  <c r="K54" i="1" s="1"/>
  <c r="G53" i="1"/>
  <c r="J53" i="1" s="1"/>
  <c r="K53" i="1" s="1"/>
  <c r="G45" i="1"/>
  <c r="J45" i="1"/>
  <c r="K45" i="1" s="1"/>
  <c r="L45" i="1" s="1"/>
  <c r="G46" i="1"/>
  <c r="J46" i="1" s="1"/>
  <c r="K46" i="1" s="1"/>
  <c r="L46" i="1" s="1"/>
  <c r="G15" i="1"/>
  <c r="J15" i="1"/>
  <c r="K15" i="1" s="1"/>
  <c r="L15" i="1" s="1"/>
  <c r="G82" i="1"/>
  <c r="J82" i="1" s="1"/>
  <c r="K82" i="1" s="1"/>
  <c r="L82" i="1" s="1"/>
  <c r="G118" i="1"/>
  <c r="J118" i="1" s="1"/>
  <c r="K118" i="1" s="1"/>
  <c r="L118" i="1" s="1"/>
  <c r="G86" i="1"/>
  <c r="J86" i="1" s="1"/>
  <c r="K86" i="1" s="1"/>
  <c r="L86" i="1" s="1"/>
  <c r="G78" i="1"/>
  <c r="J78" i="1"/>
  <c r="K78" i="1" s="1"/>
  <c r="L78" i="1" s="1"/>
  <c r="G110" i="1"/>
  <c r="J110" i="1"/>
  <c r="K110" i="1" s="1"/>
  <c r="L110" i="1" s="1"/>
  <c r="J92" i="1"/>
  <c r="K92" i="1" s="1"/>
  <c r="G91" i="1"/>
  <c r="J91" i="1" s="1"/>
  <c r="K91" i="1" s="1"/>
  <c r="J111" i="1"/>
  <c r="K111" i="1" s="1"/>
  <c r="L111" i="1" s="1"/>
  <c r="G111" i="1"/>
  <c r="J35" i="1"/>
  <c r="K35" i="1" s="1"/>
  <c r="L35" i="1" s="1"/>
  <c r="G35" i="1"/>
  <c r="J36" i="1" s="1"/>
  <c r="K36" i="1" s="1"/>
  <c r="G29" i="1"/>
  <c r="J29" i="1" s="1"/>
  <c r="K29" i="1" s="1"/>
  <c r="L29" i="1" s="1"/>
  <c r="G16" i="1"/>
  <c r="J16" i="1" s="1"/>
  <c r="K16" i="1" s="1"/>
  <c r="G50" i="1"/>
  <c r="J50" i="1" s="1"/>
  <c r="K50" i="1" s="1"/>
  <c r="L50" i="1" s="1"/>
  <c r="J51" i="1"/>
  <c r="K51" i="1" s="1"/>
  <c r="L51" i="1" s="1"/>
  <c r="G51" i="1"/>
  <c r="L55" i="1" l="1"/>
  <c r="L56" i="1" s="1"/>
  <c r="J17" i="1"/>
  <c r="K17" i="1" s="1"/>
  <c r="Q132" i="1" s="1"/>
  <c r="J27" i="1"/>
  <c r="K27" i="1" s="1"/>
  <c r="Q133" i="1" s="1"/>
  <c r="J114" i="1"/>
  <c r="K114" i="1" s="1"/>
  <c r="Q135" i="1" s="1"/>
  <c r="J81" i="1"/>
  <c r="K81" i="1" s="1"/>
  <c r="J103" i="1"/>
  <c r="K103" i="1" s="1"/>
  <c r="J99" i="1"/>
  <c r="K99" i="1" s="1"/>
  <c r="J76" i="1"/>
  <c r="K76" i="1" s="1"/>
  <c r="L99" i="1" l="1"/>
  <c r="Q134" i="1" s="1"/>
  <c r="R134" i="1" s="1"/>
  <c r="S134" i="1" s="1"/>
  <c r="T134" i="1" s="1"/>
  <c r="R135" i="1"/>
  <c r="S135" i="1" s="1"/>
  <c r="T135" i="1" s="1"/>
  <c r="R133" i="1"/>
  <c r="S133" i="1" s="1"/>
  <c r="T133" i="1" s="1"/>
  <c r="R132" i="1"/>
  <c r="S132" i="1" s="1"/>
  <c r="T132" i="1" s="1"/>
  <c r="T138" i="1" s="1"/>
  <c r="L119" i="1" l="1"/>
  <c r="L120" i="1" s="1"/>
  <c r="L121" i="1" s="1"/>
  <c r="L122" i="1" s="1"/>
  <c r="L127" i="1" s="1"/>
  <c r="L57" i="1"/>
  <c r="L58" i="1" l="1"/>
  <c r="L63" i="1" s="1"/>
  <c r="L128" i="1" s="1"/>
  <c r="O1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Oswaldo Solano Rodriguez</author>
    <author>OSCAR SOLANO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1. recepcion vehicular
2. control parqueaderos
3. salida vehicular
4. torniquete
</t>
        </r>
      </text>
    </comment>
    <comment ref="C13" authorId="0" shapeId="0" xr:uid="{00000000-0006-0000-0000-000002000000}">
      <text>
        <r>
          <rPr>
            <sz val="9"/>
            <color indexed="81"/>
            <rFont val="Tahoma"/>
            <charset val="1"/>
          </rPr>
          <t>sabados 
1. recepcion vehicular
2. control parqueaderos
3. salida vehicular
4. torniquete</t>
        </r>
      </text>
    </comment>
    <comment ref="C14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1. cctv
2. supervisor 
3. recepcion peatonal
4. recorredor interno
5. edificio administrativo
</t>
        </r>
      </text>
    </comment>
    <comment ref="C15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1. canino antiexplosivos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1. canino antiexplosivos
2. canino defensa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 xml:space="preserve">1. canino antiexplosivos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 xml:space="preserve">1. recepcion peatonal
2. torniquetes
3. recorredor de aulas a y b
4. control bicicletas
5. recorredor aulas c y d 
</t>
        </r>
        <r>
          <rPr>
            <sz val="9"/>
            <color indexed="81"/>
            <rFont val="Tahoma"/>
            <charset val="1"/>
          </rPr>
          <t xml:space="preserve">
 </t>
        </r>
      </text>
    </comment>
    <comment ref="C22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1. recepcion peatonal
2. torniquetes
3. recorredor de aulas a-b-c
4. control bicicletas
5. corredor aulas d-e-f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B4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C44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01 cctv
02 supervisor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1. perimetral norte
2. perimetral sur
3. perimetral rio
4. porteria norte 
5. porteria sur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7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1. edf camacho leiva
2. edf mutis
3. edf fase II
4. edf seguridad 
5. edf aulas II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8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1. RECEPCIONISTA
2. APOYO VEHICULAR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0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1. RECORREDOR CONCHA</t>
        </r>
        <r>
          <rPr>
            <sz val="9"/>
            <color indexed="81"/>
            <rFont val="Tahoma"/>
            <charset val="1"/>
          </rPr>
          <t xml:space="preserve">
2. PARQUEADERO ADMINISTRATIVO
3. PARQ MOTOS Y FASE I
4. PARQUEADERO FAEDIS ( NUEVO)
5. EDIF ADMINISTRATIVO (NUEVO)
6. RECORREDOR CANCHAS (NUEVO)</t>
        </r>
      </text>
    </comment>
    <comment ref="C51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1. RECEPCIONISTA 
2. TORNIQUETES
3. PARQUEADERO CABAL
4. EDF FAEDIS Y POSGRADOS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2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 xml:space="preserve">1. CANINO ANTIEXPLOSIVOS
2. CANINO DEFENSA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3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1. RECEPCIONISTA 
2. TORNIQUETES
3. PARQUEADERO CABAL
4. EDF FAEDIS Y POSGRADOS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9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Revisar la cantidad de equipos a solicitar|</t>
        </r>
      </text>
    </comment>
    <comment ref="F61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Revisar cantidad de detectores a solicitar</t>
        </r>
      </text>
    </comment>
    <comment ref="B102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B104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F123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Verificar cantidad </t>
        </r>
      </text>
    </comment>
    <comment ref="F125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Verificar cantidad</t>
        </r>
      </text>
    </comment>
  </commentList>
</comments>
</file>

<file path=xl/sharedStrings.xml><?xml version="1.0" encoding="utf-8"?>
<sst xmlns="http://schemas.openxmlformats.org/spreadsheetml/2006/main" count="178" uniqueCount="110">
  <si>
    <t>CALCULO DE TARIFA MINIMA PARTE 2024</t>
  </si>
  <si>
    <t>Vigencia</t>
  </si>
  <si>
    <t>SMMLV</t>
  </si>
  <si>
    <t>Factor</t>
  </si>
  <si>
    <t>Tarifa Mínima</t>
  </si>
  <si>
    <t>DIAS</t>
  </si>
  <si>
    <t>SMMLV 2024</t>
  </si>
  <si>
    <t>Total</t>
  </si>
  <si>
    <t>Clases</t>
  </si>
  <si>
    <r>
      <t xml:space="preserve"> VALOR CONTRATO SERVICIO DE SEGURIDAD 2024-2025 (Artículo 462-1 E.T, Base Gravable Especial) / Tarifas de la Circular Externa  </t>
    </r>
    <r>
      <rPr>
        <b/>
        <i/>
        <u/>
        <sz val="8"/>
        <rFont val="Arial"/>
        <family val="2"/>
      </rPr>
      <t>No. Nº  20231300001105 Superintendencia de Vigilancia y Seguridad privada del 30 de Diciembre de 2023 / Decreto 4950 de 2007</t>
    </r>
  </si>
  <si>
    <t>NOMBRE DEL SERVICIO</t>
  </si>
  <si>
    <t xml:space="preserve">CANTIDAD SERVICIOS </t>
  </si>
  <si>
    <t>VALOR BASE DEL SERVICIO Tarifa 2024</t>
  </si>
  <si>
    <t>VALOR PRIMA SEGURO DE VIDA</t>
  </si>
  <si>
    <t>% Gastos Admon. y Super. (8%, 10% ó 11%)</t>
  </si>
  <si>
    <t xml:space="preserve">Valor Gastos Administración y Supervisión 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</si>
  <si>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</si>
  <si>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</si>
  <si>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</si>
  <si>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</si>
  <si>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</si>
  <si>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SEDE BOGOTA - CALLE 100</t>
  </si>
  <si>
    <t>Los siguientes servicios se prestarán desde el 01 de mayo de 2024 hasta el 31 de diciembre de 2024</t>
  </si>
  <si>
    <t>TOTAL SERVICIO  (8 meses , 4 dias)</t>
  </si>
  <si>
    <r>
      <t>Servicios lunes a viernes sin festivos 16 horas / 15 horas diurnas, 1 hora nocturna</t>
    </r>
    <r>
      <rPr>
        <b/>
        <sz val="6"/>
        <rFont val="Arial"/>
        <family val="2"/>
      </rPr>
      <t xml:space="preserve"> sin arma</t>
    </r>
  </si>
  <si>
    <t>del 27 de noviembre al 8 de diciembre</t>
  </si>
  <si>
    <r>
      <t xml:space="preserve">Servicios sabados 12 horas </t>
    </r>
    <r>
      <rPr>
        <b/>
        <sz val="6"/>
        <rFont val="Arial"/>
        <family val="2"/>
      </rPr>
      <t>sin arma</t>
    </r>
  </si>
  <si>
    <t>solo sabados</t>
  </si>
  <si>
    <r>
      <t xml:space="preserve">Servicios 24 horas Lunes a Domingo Incluidos festivos </t>
    </r>
    <r>
      <rPr>
        <b/>
        <sz val="6"/>
        <rFont val="Arial"/>
        <family val="2"/>
      </rPr>
      <t>sin arma Incluidos 1 OMT</t>
    </r>
  </si>
  <si>
    <r>
      <t xml:space="preserve">Servicios 24 horas lunes a domingo incluidos festivos </t>
    </r>
    <r>
      <rPr>
        <b/>
        <sz val="6"/>
        <rFont val="Arial"/>
        <family val="2"/>
      </rPr>
      <t>manejador canino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</si>
  <si>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>manejador canino</t>
    </r>
    <r>
      <rPr>
        <sz val="6"/>
        <color indexed="8"/>
        <rFont val="Arial"/>
        <family val="2"/>
      </rPr>
      <t xml:space="preserve"> 15 horas diurno, 1 hora nocturna</t>
    </r>
  </si>
  <si>
    <r>
      <t xml:space="preserve">Servicios sabados 12 horas </t>
    </r>
    <r>
      <rPr>
        <b/>
        <sz val="6"/>
        <rFont val="Arial"/>
        <family val="2"/>
      </rPr>
      <t>manejador canino</t>
    </r>
  </si>
  <si>
    <t xml:space="preserve">Los siguientes servicios se prestarán en el período: del 01 de mayo de 2024 al 01 de junio de 2024 y del 8 de julio al 6 de diciembre de 2024 </t>
  </si>
  <si>
    <t xml:space="preserve">TOTAL SERVICIO ( 6 mes y 2 dias) </t>
  </si>
  <si>
    <r>
      <t xml:space="preserve">Servicios Lunes a viernes sin festivos 16 horas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15 horas diurno, 1 hora nocturna</t>
    </r>
  </si>
  <si>
    <t>SEDE BOGOTA - FACULTAD DE MEDICINA Y CIENCIAS DE LA SALUD</t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</si>
  <si>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sin arma</t>
    </r>
  </si>
  <si>
    <r>
      <t xml:space="preserve">Servicios 16 horas lunes a sabado sin festivos </t>
    </r>
    <r>
      <rPr>
        <b/>
        <sz val="6"/>
        <color indexed="8"/>
        <rFont val="Arial"/>
        <family val="2"/>
      </rPr>
      <t xml:space="preserve">manejador canino, </t>
    </r>
    <r>
      <rPr>
        <sz val="6"/>
        <color indexed="8"/>
        <rFont val="Arial"/>
        <family val="2"/>
      </rPr>
      <t>15 horas diurnas, 1 hora nocturna</t>
    </r>
  </si>
  <si>
    <r>
      <t xml:space="preserve">Servicios Lunes a viernes sin festivos torniquete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12 horas.</t>
    </r>
  </si>
  <si>
    <t>SEDE BOGOTA - EDIFICIO CALLE 94</t>
  </si>
  <si>
    <r>
      <t xml:space="preserve">Servicios 24 horas Lunes a Domingo Incluidos festivos </t>
    </r>
    <r>
      <rPr>
        <b/>
        <sz val="6"/>
        <rFont val="Arial"/>
        <family val="2"/>
      </rPr>
      <t>con arma</t>
    </r>
  </si>
  <si>
    <r>
      <t xml:space="preserve">Servicios 24 horas Lunes a Domingo Incluidos festivos </t>
    </r>
    <r>
      <rPr>
        <b/>
        <sz val="6"/>
        <rFont val="Arial"/>
        <family val="2"/>
      </rPr>
      <t>sin arma</t>
    </r>
  </si>
  <si>
    <r>
      <t xml:space="preserve">Servicios Lunes a viernes sin festivos </t>
    </r>
    <r>
      <rPr>
        <b/>
        <sz val="6"/>
        <rFont val="Arial"/>
        <family val="2"/>
      </rPr>
      <t>control ingreso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16 horas15 horas diurno, 1 hora nocturna</t>
    </r>
  </si>
  <si>
    <r>
      <t xml:space="preserve">Servicios sabados 12 horas </t>
    </r>
    <r>
      <rPr>
        <b/>
        <sz val="6"/>
        <rFont val="Arial"/>
        <family val="2"/>
      </rPr>
      <t>control ingreso sin arma</t>
    </r>
  </si>
  <si>
    <r>
      <t xml:space="preserve">Servicios 16 horas lunes a viernes sin festivos </t>
    </r>
    <r>
      <rPr>
        <b/>
        <sz val="6"/>
        <color theme="1"/>
        <rFont val="Arial"/>
        <family val="2"/>
      </rPr>
      <t xml:space="preserve">manejador canino, </t>
    </r>
    <r>
      <rPr>
        <sz val="6"/>
        <color theme="1"/>
        <rFont val="Arial"/>
        <family val="2"/>
      </rPr>
      <t>15 horas diurnas, 1 hora nocturna</t>
    </r>
  </si>
  <si>
    <r>
      <t xml:space="preserve">Servicios sábados 12 horas </t>
    </r>
    <r>
      <rPr>
        <b/>
        <sz val="6"/>
        <color theme="1"/>
        <rFont val="Arial"/>
        <family val="2"/>
      </rPr>
      <t>manejador canino</t>
    </r>
  </si>
  <si>
    <t>SEDE CAMPUS NUEVA GRANADA</t>
  </si>
  <si>
    <r>
      <t xml:space="preserve">Servicios 24 horas Lunes a Domingo Incluidos festivos </t>
    </r>
    <r>
      <rPr>
        <b/>
        <sz val="8"/>
        <rFont val="Arial"/>
        <family val="2"/>
      </rPr>
      <t>sin arma Incluidos 1 OMT y 01 Supervisor</t>
    </r>
  </si>
  <si>
    <r>
      <t xml:space="preserve">Servicios 24 horas lunes a domingo incluidos festivos </t>
    </r>
    <r>
      <rPr>
        <b/>
        <sz val="8"/>
        <rFont val="Arial"/>
        <family val="2"/>
      </rPr>
      <t>manejador canino</t>
    </r>
  </si>
  <si>
    <r>
      <t xml:space="preserve">Servicios 24 horas Lunes a Domingo Incluidos festivos </t>
    </r>
    <r>
      <rPr>
        <b/>
        <sz val="8"/>
        <rFont val="Arial"/>
        <family val="2"/>
      </rPr>
      <t>con arma</t>
    </r>
  </si>
  <si>
    <r>
      <t xml:space="preserve">Servicios 24 horas Lunes a Domingo Incluidos festivos </t>
    </r>
    <r>
      <rPr>
        <b/>
        <sz val="8"/>
        <rFont val="Arial"/>
        <family val="2"/>
      </rPr>
      <t>Sin arma</t>
    </r>
  </si>
  <si>
    <r>
      <t xml:space="preserve">Servicios lunes a sabado sin festivos 12 horas , </t>
    </r>
    <r>
      <rPr>
        <b/>
        <sz val="8"/>
        <color theme="1"/>
        <rFont val="Arial"/>
        <family val="2"/>
      </rPr>
      <t>SIN ARMA-(Recepcionista)</t>
    </r>
  </si>
  <si>
    <r>
      <t xml:space="preserve">Servicios lunes a viernes sin festivos 12 horas , </t>
    </r>
    <r>
      <rPr>
        <b/>
        <sz val="8"/>
        <color theme="1"/>
        <rFont val="Arial"/>
        <family val="2"/>
      </rPr>
      <t>SIN ARMA-</t>
    </r>
  </si>
  <si>
    <r>
      <t xml:space="preserve">Servicios Sabados sin festivos 12 horas , </t>
    </r>
    <r>
      <rPr>
        <b/>
        <sz val="8"/>
        <color theme="1"/>
        <rFont val="Arial"/>
        <family val="2"/>
      </rPr>
      <t>SIN ARMA-</t>
    </r>
  </si>
  <si>
    <r>
      <t xml:space="preserve">Servicio 12 horas lunes a viernes sin arma, sin festivos- </t>
    </r>
    <r>
      <rPr>
        <b/>
        <sz val="8"/>
        <color theme="1"/>
        <rFont val="Arial"/>
        <family val="2"/>
      </rPr>
      <t>manejador canino</t>
    </r>
  </si>
  <si>
    <t xml:space="preserve">Servicios lunes a viernes sin festivos 16 horas / 15 horas diurnas, 1 hora nocturna sin arma 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</si>
  <si>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</si>
  <si>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</si>
  <si>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</si>
  <si>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2024 incluido IVA 19% </t>
  </si>
  <si>
    <t>Medios técnológicos  adicionales</t>
  </si>
  <si>
    <t xml:space="preserve"> Plan corporativo Ilimitado  PTT y Llamadas</t>
  </si>
  <si>
    <t>Valor Individual mes</t>
  </si>
  <si>
    <t>Valor Total mes</t>
  </si>
  <si>
    <t>Total costo avanteles incluido IVA</t>
  </si>
  <si>
    <t xml:space="preserve">servivcio de radios talkabout punto a punto largo alcance </t>
  </si>
  <si>
    <t xml:space="preserve">Detector de Metales </t>
  </si>
  <si>
    <t>Total costo detectores incluido IVA</t>
  </si>
  <si>
    <t>Medios técnológicos  adicionales por 9 meses y 8 dias</t>
  </si>
  <si>
    <t>Valor Total de los Servicios 2024 más valor de los medios adicionales (IVA incluido)</t>
  </si>
  <si>
    <t>CALCULO DE TARIFA MINIMA PARTE 2025</t>
  </si>
  <si>
    <t>% Proyectado</t>
  </si>
  <si>
    <t>SMMLV 2025</t>
  </si>
  <si>
    <t xml:space="preserve"> VALOR CONTRATO SERVICIO DE SEGURIDAD 2024-2025 (Artículo 462-1 E.T, Base Gravable Especial) / Tarifas de la Circular Externa  No. Nº  20231300001105 Superintendencia de Vigilancia y Seguridad privada del 30 de Diciembre de 2023 / Decreto 4950 de 2007</t>
  </si>
  <si>
    <t xml:space="preserve">VALOR BASE DEL SERVICIO Tarifa incrementada en 20% para 2025 </t>
  </si>
  <si>
    <t>Los siguientes servicios se prestarán desde el 1 de enero de 2025 hasta el 31 de marzo de 2025</t>
  </si>
  <si>
    <t>TOTAL SERVICIO  (3 meses)</t>
  </si>
  <si>
    <r>
      <t>Servicios lunes a viernes sin festivos 16 horas / 15 horas diurnas, 1 hora nocturna</t>
    </r>
    <r>
      <rPr>
        <b/>
        <sz val="6"/>
        <color theme="1"/>
        <rFont val="Arial"/>
        <family val="2"/>
      </rPr>
      <t xml:space="preserve"> sin arma</t>
    </r>
  </si>
  <si>
    <r>
      <t xml:space="preserve">Servicios sabados 12 horas </t>
    </r>
    <r>
      <rPr>
        <b/>
        <sz val="6"/>
        <color theme="1"/>
        <rFont val="Arial"/>
        <family val="2"/>
      </rPr>
      <t>sin arma</t>
    </r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</si>
  <si>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sin arma incluidos 1 OMT</t>
    </r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</si>
  <si>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manejador canino</t>
    </r>
  </si>
  <si>
    <r>
      <t xml:space="preserve">Servicios 16 horas lunes a viernes sin festivos </t>
    </r>
    <r>
      <rPr>
        <b/>
        <sz val="6"/>
        <color theme="1"/>
        <rFont val="Arial"/>
        <family val="2"/>
      </rPr>
      <t>manejador canino</t>
    </r>
    <r>
      <rPr>
        <sz val="6"/>
        <color theme="1"/>
        <rFont val="Arial"/>
        <family val="2"/>
      </rPr>
      <t xml:space="preserve"> 15 horas diurno, 1 hora nocturna</t>
    </r>
  </si>
  <si>
    <r>
      <t xml:space="preserve">Servicios sabados 12 horas </t>
    </r>
    <r>
      <rPr>
        <b/>
        <sz val="6"/>
        <color theme="1"/>
        <rFont val="Arial"/>
        <family val="2"/>
      </rPr>
      <t>manejador canino</t>
    </r>
  </si>
  <si>
    <t>Los siguientes servicios se prestarán desde el 6 de enero de 2025 hasta el 31 de marzo de 2025</t>
  </si>
  <si>
    <t>TOTAL SERVICIO  (2 meses y 24 dias)</t>
  </si>
  <si>
    <t>TOTAL SERVICIO  (3 meses )</t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</si>
  <si>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sin arma</t>
    </r>
  </si>
  <si>
    <r>
      <t xml:space="preserve">Servicios 16 horas lunes a sabado sin festivos </t>
    </r>
    <r>
      <rPr>
        <b/>
        <sz val="6"/>
        <color theme="1"/>
        <rFont val="Arial"/>
        <family val="2"/>
      </rPr>
      <t xml:space="preserve">manejador canino, </t>
    </r>
    <r>
      <rPr>
        <sz val="6"/>
        <color theme="1"/>
        <rFont val="Arial"/>
        <family val="2"/>
      </rPr>
      <t>15 horas diurnas, 1 hora nocturna</t>
    </r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</si>
  <si>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con arma</t>
    </r>
  </si>
  <si>
    <r>
      <t xml:space="preserve">Servicios 24 horas Lunes a Domingo Incluidos festivos </t>
    </r>
    <r>
      <rPr>
        <b/>
        <sz val="8"/>
        <rFont val="Arial"/>
        <family val="2"/>
      </rPr>
      <t>sin arma Incluidos 1 OMT y Supervisor</t>
    </r>
  </si>
  <si>
    <r>
      <t xml:space="preserve">Servicios lunes a sabado sin festivos 12 horas </t>
    </r>
    <r>
      <rPr>
        <b/>
        <sz val="8"/>
        <rFont val="Arial"/>
        <family val="2"/>
      </rPr>
      <t>sin arma (Recepcionista)</t>
    </r>
  </si>
  <si>
    <r>
      <t xml:space="preserve">Servicios Lunes a viernes sin festivos 16 horas </t>
    </r>
    <r>
      <rPr>
        <b/>
        <sz val="8"/>
        <rFont val="Arial"/>
        <family val="2"/>
      </rPr>
      <t>sin arma</t>
    </r>
    <r>
      <rPr>
        <sz val="8"/>
        <rFont val="Arial"/>
        <family val="2"/>
      </rPr>
      <t xml:space="preserve"> 15 horas diurno, 1 hora nocturna</t>
    </r>
  </si>
  <si>
    <r>
      <t xml:space="preserve">Servicios Sabados sin festivos 12 horas </t>
    </r>
    <r>
      <rPr>
        <b/>
        <sz val="8"/>
        <rFont val="Arial"/>
        <family val="2"/>
      </rPr>
      <t>sin arma</t>
    </r>
  </si>
  <si>
    <r>
      <t xml:space="preserve">Servicios lunes a viernes sin festivos 12 horas </t>
    </r>
    <r>
      <rPr>
        <b/>
        <sz val="8"/>
        <rFont val="Arial"/>
        <family val="2"/>
      </rPr>
      <t>sin arma</t>
    </r>
  </si>
  <si>
    <r>
      <t xml:space="preserve">Servicios 12 horas lunes a viernes sin festivos </t>
    </r>
    <r>
      <rPr>
        <b/>
        <sz val="8"/>
        <color indexed="8"/>
        <rFont val="Arial"/>
        <family val="2"/>
      </rPr>
      <t>manejador canino</t>
    </r>
  </si>
  <si>
    <t>Valor Total de los Servicios 2025 antes de IVA</t>
  </si>
  <si>
    <t xml:space="preserve">Valor Total de los servicios año 2025 incluido IVA 19% </t>
  </si>
  <si>
    <t xml:space="preserve">Medios técnológicos adicionales por 2 meses y 28 dias  </t>
  </si>
  <si>
    <t xml:space="preserve">Valor Total del servicios 2025 proyeccion de aumento del SMMLV en 20% para 2025. Incluido IVA 19% </t>
  </si>
  <si>
    <t xml:space="preserve">Valor Total del servicios 2024 y 2025 proyeccion de aumento del SMMLV en 20% para 2025. Incluido IVA 19% </t>
  </si>
  <si>
    <t>servico neto</t>
  </si>
  <si>
    <t>base gra</t>
  </si>
  <si>
    <t xml:space="preserve">iva de base </t>
  </si>
  <si>
    <t>total</t>
  </si>
  <si>
    <t>CALLE 100</t>
  </si>
  <si>
    <t>MEDICINA</t>
  </si>
  <si>
    <t>CALLE 94</t>
  </si>
  <si>
    <t>CAMPUS</t>
  </si>
  <si>
    <t>MEDIOS</t>
  </si>
  <si>
    <t>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</si>
</sst>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&quot;$&quot;\ #,##0"/>
    <numFmt numFmtId="166" formatCode="[$$-440A]#,##0.00"/>
    <numFmt numFmtId="167" formatCode="0.0%"/>
    <numFmt numFmtId="168" formatCode="&quot;$&quot;\ 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6"/>
      <color rgb="FF000000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27C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BA3D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6" fillId="3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3" borderId="0" xfId="0" applyFont="1" applyFill="1"/>
    <xf numFmtId="0" fontId="7" fillId="2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5" fontId="8" fillId="3" borderId="0" xfId="2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4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9" fontId="8" fillId="3" borderId="4" xfId="3" applyFont="1" applyFill="1" applyBorder="1" applyAlignment="1">
      <alignment horizontal="center" vertical="center"/>
    </xf>
    <xf numFmtId="10" fontId="8" fillId="3" borderId="4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65" fontId="8" fillId="3" borderId="7" xfId="2" applyNumberFormat="1" applyFont="1" applyFill="1" applyBorder="1" applyAlignment="1">
      <alignment horizontal="center" vertical="center"/>
    </xf>
    <xf numFmtId="0" fontId="16" fillId="0" borderId="0" xfId="0" applyFont="1"/>
    <xf numFmtId="9" fontId="8" fillId="3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9" fontId="8" fillId="3" borderId="12" xfId="3" applyFont="1" applyFill="1" applyBorder="1" applyAlignment="1">
      <alignment horizontal="center" vertical="center"/>
    </xf>
    <xf numFmtId="10" fontId="8" fillId="3" borderId="12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65" fontId="8" fillId="3" borderId="17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9" fontId="8" fillId="3" borderId="10" xfId="3" applyFont="1" applyFill="1" applyBorder="1" applyAlignment="1">
      <alignment horizontal="center" vertical="center"/>
    </xf>
    <xf numFmtId="10" fontId="8" fillId="3" borderId="10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65" fontId="8" fillId="3" borderId="11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8" fillId="0" borderId="0" xfId="3" applyFont="1" applyFill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9" fontId="8" fillId="0" borderId="10" xfId="3" applyFont="1" applyFill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9" fontId="8" fillId="3" borderId="0" xfId="3" applyFont="1" applyFill="1" applyBorder="1" applyAlignment="1">
      <alignment horizontal="center" vertical="center"/>
    </xf>
    <xf numFmtId="10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center" vertical="center"/>
    </xf>
    <xf numFmtId="9" fontId="15" fillId="3" borderId="14" xfId="3" applyFont="1" applyFill="1" applyBorder="1" applyAlignment="1">
      <alignment horizontal="center" vertical="center"/>
    </xf>
    <xf numFmtId="9" fontId="15" fillId="3" borderId="14" xfId="0" applyNumberFormat="1" applyFont="1" applyFill="1" applyBorder="1" applyAlignment="1">
      <alignment horizontal="center" vertical="center"/>
    </xf>
    <xf numFmtId="1" fontId="15" fillId="3" borderId="14" xfId="0" applyNumberFormat="1" applyFont="1" applyFill="1" applyBorder="1" applyAlignment="1">
      <alignment horizontal="center" vertical="center"/>
    </xf>
    <xf numFmtId="165" fontId="15" fillId="3" borderId="24" xfId="2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9" fontId="15" fillId="3" borderId="4" xfId="3" applyFont="1" applyFill="1" applyBorder="1" applyAlignment="1">
      <alignment horizontal="center" vertical="center"/>
    </xf>
    <xf numFmtId="9" fontId="15" fillId="3" borderId="4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65" fontId="15" fillId="3" borderId="7" xfId="2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10" fontId="23" fillId="3" borderId="4" xfId="0" applyNumberFormat="1" applyFont="1" applyFill="1" applyBorder="1" applyAlignment="1">
      <alignment horizontal="center" vertical="center"/>
    </xf>
    <xf numFmtId="1" fontId="23" fillId="3" borderId="12" xfId="0" applyNumberFormat="1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165" fontId="23" fillId="3" borderId="7" xfId="2" applyNumberFormat="1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9" fontId="23" fillId="0" borderId="10" xfId="3" applyFont="1" applyFill="1" applyBorder="1" applyAlignment="1">
      <alignment horizontal="center" vertical="center"/>
    </xf>
    <xf numFmtId="10" fontId="23" fillId="3" borderId="10" xfId="0" applyNumberFormat="1" applyFont="1" applyFill="1" applyBorder="1" applyAlignment="1">
      <alignment horizontal="center" vertical="center"/>
    </xf>
    <xf numFmtId="1" fontId="23" fillId="3" borderId="10" xfId="0" applyNumberFormat="1" applyFont="1" applyFill="1" applyBorder="1" applyAlignment="1">
      <alignment horizontal="center" vertical="center"/>
    </xf>
    <xf numFmtId="3" fontId="23" fillId="3" borderId="10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9" fontId="15" fillId="3" borderId="0" xfId="3" applyFont="1" applyFill="1" applyBorder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165" fontId="15" fillId="3" borderId="0" xfId="2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/>
    </xf>
    <xf numFmtId="9" fontId="8" fillId="3" borderId="14" xfId="3" applyFont="1" applyFill="1" applyBorder="1" applyAlignment="1">
      <alignment horizontal="center" vertical="center"/>
    </xf>
    <xf numFmtId="9" fontId="8" fillId="3" borderId="14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165" fontId="8" fillId="3" borderId="24" xfId="2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43" fontId="0" fillId="0" borderId="0" xfId="1" applyFont="1"/>
    <xf numFmtId="3" fontId="0" fillId="0" borderId="0" xfId="0" applyNumberFormat="1"/>
    <xf numFmtId="0" fontId="23" fillId="3" borderId="8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65" fontId="13" fillId="10" borderId="7" xfId="0" applyNumberFormat="1" applyFont="1" applyFill="1" applyBorder="1" applyAlignment="1">
      <alignment horizontal="center" vertical="center"/>
    </xf>
    <xf numFmtId="165" fontId="13" fillId="11" borderId="7" xfId="0" applyNumberFormat="1" applyFont="1" applyFill="1" applyBorder="1" applyAlignment="1">
      <alignment horizontal="center" vertical="center"/>
    </xf>
    <xf numFmtId="165" fontId="9" fillId="11" borderId="7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/>
    </xf>
    <xf numFmtId="165" fontId="25" fillId="0" borderId="17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/>
    </xf>
    <xf numFmtId="165" fontId="9" fillId="11" borderId="1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0" fontId="2" fillId="13" borderId="4" xfId="0" applyFont="1" applyFill="1" applyBorder="1" applyAlignment="1">
      <alignment horizontal="center"/>
    </xf>
    <xf numFmtId="0" fontId="5" fillId="3" borderId="0" xfId="0" applyFont="1" applyFill="1" applyAlignment="1">
      <alignment vertical="center"/>
    </xf>
    <xf numFmtId="0" fontId="7" fillId="13" borderId="4" xfId="0" applyFont="1" applyFill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167" fontId="26" fillId="0" borderId="10" xfId="3" applyNumberFormat="1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10" fillId="11" borderId="5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166" fontId="28" fillId="11" borderId="7" xfId="0" applyNumberFormat="1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3" fontId="23" fillId="3" borderId="12" xfId="0" applyNumberFormat="1" applyFont="1" applyFill="1" applyBorder="1" applyAlignment="1">
      <alignment horizontal="center" vertical="center"/>
    </xf>
    <xf numFmtId="9" fontId="23" fillId="3" borderId="12" xfId="3" applyFont="1" applyFill="1" applyBorder="1" applyAlignment="1">
      <alignment horizontal="center" vertical="center"/>
    </xf>
    <xf numFmtId="165" fontId="0" fillId="3" borderId="0" xfId="0" applyNumberFormat="1" applyFill="1"/>
    <xf numFmtId="0" fontId="21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9" fontId="23" fillId="3" borderId="4" xfId="3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9" fontId="23" fillId="3" borderId="4" xfId="0" applyNumberFormat="1" applyFont="1" applyFill="1" applyBorder="1" applyAlignment="1">
      <alignment horizontal="center" vertical="center"/>
    </xf>
    <xf numFmtId="10" fontId="23" fillId="3" borderId="12" xfId="0" applyNumberFormat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9" fontId="8" fillId="0" borderId="14" xfId="3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9" fontId="8" fillId="0" borderId="4" xfId="3" applyFont="1" applyFill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5" fontId="23" fillId="3" borderId="11" xfId="2" applyNumberFormat="1" applyFont="1" applyFill="1" applyBorder="1" applyAlignment="1">
      <alignment horizontal="center" vertical="center"/>
    </xf>
    <xf numFmtId="0" fontId="0" fillId="0" borderId="43" xfId="0" applyBorder="1"/>
    <xf numFmtId="168" fontId="0" fillId="0" borderId="0" xfId="0" applyNumberFormat="1"/>
    <xf numFmtId="165" fontId="0" fillId="0" borderId="0" xfId="0" applyNumberFormat="1"/>
    <xf numFmtId="10" fontId="8" fillId="3" borderId="1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65" fontId="13" fillId="10" borderId="44" xfId="0" applyNumberFormat="1" applyFont="1" applyFill="1" applyBorder="1" applyAlignment="1">
      <alignment horizontal="center" vertical="center"/>
    </xf>
    <xf numFmtId="165" fontId="9" fillId="7" borderId="1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0" fillId="16" borderId="49" xfId="0" applyFill="1" applyBorder="1"/>
    <xf numFmtId="0" fontId="0" fillId="16" borderId="35" xfId="0" applyFill="1" applyBorder="1"/>
    <xf numFmtId="165" fontId="0" fillId="16" borderId="50" xfId="0" applyNumberFormat="1" applyFill="1" applyBorder="1"/>
    <xf numFmtId="0" fontId="15" fillId="3" borderId="6" xfId="0" applyFont="1" applyFill="1" applyBorder="1" applyAlignment="1">
      <alignment horizontal="center" vertical="center"/>
    </xf>
    <xf numFmtId="165" fontId="8" fillId="3" borderId="51" xfId="2" applyNumberFormat="1" applyFont="1" applyFill="1" applyBorder="1" applyAlignment="1">
      <alignment horizontal="center" vertical="center"/>
    </xf>
    <xf numFmtId="165" fontId="8" fillId="3" borderId="44" xfId="2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165" fontId="23" fillId="3" borderId="51" xfId="2" applyNumberFormat="1" applyFont="1" applyFill="1" applyBorder="1" applyAlignment="1">
      <alignment horizontal="center" vertical="center"/>
    </xf>
    <xf numFmtId="165" fontId="23" fillId="3" borderId="44" xfId="2" applyNumberFormat="1" applyFont="1" applyFill="1" applyBorder="1" applyAlignment="1">
      <alignment horizontal="center" vertical="center"/>
    </xf>
    <xf numFmtId="165" fontId="8" fillId="3" borderId="17" xfId="2" applyNumberFormat="1" applyFont="1" applyFill="1" applyBorder="1" applyAlignment="1">
      <alignment horizontal="center" vertical="center"/>
    </xf>
    <xf numFmtId="165" fontId="23" fillId="3" borderId="17" xfId="2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9" fontId="8" fillId="3" borderId="4" xfId="3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166" fontId="9" fillId="7" borderId="22" xfId="0" applyNumberFormat="1" applyFont="1" applyFill="1" applyBorder="1" applyAlignment="1">
      <alignment horizontal="center" vertical="center" wrapText="1"/>
    </xf>
    <xf numFmtId="166" fontId="9" fillId="7" borderId="20" xfId="0" applyNumberFormat="1" applyFont="1" applyFill="1" applyBorder="1" applyAlignment="1">
      <alignment horizontal="center" vertical="center" wrapText="1"/>
    </xf>
    <xf numFmtId="166" fontId="9" fillId="7" borderId="23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165" fontId="15" fillId="3" borderId="7" xfId="4" applyNumberFormat="1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9" fontId="23" fillId="0" borderId="12" xfId="3" applyFont="1" applyFill="1" applyBorder="1" applyAlignment="1">
      <alignment horizontal="center" vertical="center"/>
    </xf>
    <xf numFmtId="9" fontId="23" fillId="0" borderId="18" xfId="3" applyFont="1" applyFill="1" applyBorder="1" applyAlignment="1">
      <alignment horizontal="center" vertical="center"/>
    </xf>
    <xf numFmtId="1" fontId="23" fillId="3" borderId="12" xfId="0" applyNumberFormat="1" applyFont="1" applyFill="1" applyBorder="1" applyAlignment="1">
      <alignment horizontal="center" vertical="center"/>
    </xf>
    <xf numFmtId="1" fontId="23" fillId="3" borderId="18" xfId="0" applyNumberFormat="1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9" fontId="15" fillId="3" borderId="4" xfId="3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30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166" fontId="9" fillId="7" borderId="33" xfId="0" applyNumberFormat="1" applyFont="1" applyFill="1" applyBorder="1" applyAlignment="1">
      <alignment horizontal="center" vertical="center" wrapText="1"/>
    </xf>
    <xf numFmtId="166" fontId="9" fillId="7" borderId="34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3" fontId="8" fillId="3" borderId="35" xfId="0" applyNumberFormat="1" applyFont="1" applyFill="1" applyBorder="1" applyAlignment="1">
      <alignment horizontal="center" vertical="center"/>
    </xf>
    <xf numFmtId="9" fontId="8" fillId="3" borderId="10" xfId="3" applyFont="1" applyFill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2" borderId="2" xfId="0" applyNumberFormat="1" applyFont="1" applyFill="1" applyBorder="1" applyAlignment="1">
      <alignment horizontal="center" vertical="center"/>
    </xf>
    <xf numFmtId="3" fontId="6" fillId="12" borderId="3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12" fillId="15" borderId="30" xfId="0" applyFont="1" applyFill="1" applyBorder="1" applyAlignment="1">
      <alignment horizontal="center" vertical="center" wrapText="1"/>
    </xf>
    <xf numFmtId="0" fontId="12" fillId="15" borderId="31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9" fillId="15" borderId="36" xfId="0" applyFont="1" applyFill="1" applyBorder="1" applyAlignment="1">
      <alignment horizontal="center" vertical="center" wrapText="1"/>
    </xf>
    <xf numFmtId="0" fontId="9" fillId="15" borderId="30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2" fillId="11" borderId="29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3" fontId="23" fillId="3" borderId="12" xfId="0" applyNumberFormat="1" applyFont="1" applyFill="1" applyBorder="1" applyAlignment="1">
      <alignment horizontal="center" vertical="center"/>
    </xf>
    <xf numFmtId="3" fontId="23" fillId="3" borderId="18" xfId="0" applyNumberFormat="1" applyFont="1" applyFill="1" applyBorder="1" applyAlignment="1">
      <alignment horizontal="center" vertical="center"/>
    </xf>
    <xf numFmtId="9" fontId="23" fillId="3" borderId="12" xfId="3" applyFont="1" applyFill="1" applyBorder="1" applyAlignment="1">
      <alignment horizontal="center" vertical="center"/>
    </xf>
    <xf numFmtId="9" fontId="23" fillId="3" borderId="18" xfId="3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9" fontId="23" fillId="3" borderId="4" xfId="3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9" fontId="8" fillId="0" borderId="4" xfId="3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12" fillId="15" borderId="28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5" borderId="44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166" fontId="9" fillId="7" borderId="12" xfId="0" applyNumberFormat="1" applyFont="1" applyFill="1" applyBorder="1" applyAlignment="1">
      <alignment horizontal="center" vertical="center" wrapText="1"/>
    </xf>
    <xf numFmtId="166" fontId="9" fillId="7" borderId="17" xfId="0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8" fillId="3" borderId="45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/>
    </xf>
    <xf numFmtId="0" fontId="9" fillId="10" borderId="4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9" fontId="8" fillId="3" borderId="45" xfId="3" applyFont="1" applyFill="1" applyBorder="1" applyAlignment="1">
      <alignment horizontal="center" vertical="center"/>
    </xf>
    <xf numFmtId="9" fontId="8" fillId="3" borderId="18" xfId="3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2" xfId="4" xr:uid="{00000000-0005-0000-0000-000002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38"/>
  <sheetViews>
    <sheetView showGridLines="0" tabSelected="1" view="pageBreakPreview" topLeftCell="A108" zoomScale="120" zoomScaleNormal="120" zoomScaleSheetLayoutView="120" workbookViewId="0">
      <selection activeCell="B74" sqref="B74:I74"/>
    </sheetView>
  </sheetViews>
  <sheetFormatPr defaultColWidth="11.42578125" defaultRowHeight="15"/>
  <cols>
    <col min="1" max="1" width="3" customWidth="1"/>
    <col min="2" max="2" width="20" style="1" customWidth="1"/>
    <col min="3" max="3" width="8.7109375" style="2" customWidth="1"/>
    <col min="4" max="4" width="10.7109375" style="2" customWidth="1"/>
    <col min="5" max="5" width="10.7109375" style="3" customWidth="1"/>
    <col min="6" max="6" width="10.140625" style="2" customWidth="1"/>
    <col min="7" max="7" width="12.140625" style="2" customWidth="1"/>
    <col min="8" max="8" width="8.42578125" style="2" customWidth="1"/>
    <col min="9" max="9" width="9.28515625" style="2" bestFit="1" customWidth="1"/>
    <col min="10" max="10" width="10.140625" style="2" customWidth="1"/>
    <col min="11" max="11" width="13.85546875" style="2" customWidth="1"/>
    <col min="12" max="12" width="13.28515625" style="2" customWidth="1"/>
    <col min="13" max="13" width="7.85546875" customWidth="1"/>
    <col min="14" max="14" width="6.140625" customWidth="1"/>
    <col min="15" max="15" width="18.5703125" customWidth="1"/>
    <col min="16" max="16" width="14.7109375" customWidth="1"/>
    <col min="17" max="17" width="16.42578125" customWidth="1"/>
    <col min="18" max="18" width="14.7109375" bestFit="1" customWidth="1"/>
  </cols>
  <sheetData>
    <row r="2" spans="2:14" ht="15.75" thickBot="1"/>
    <row r="3" spans="2:14" ht="15.75">
      <c r="D3" s="195" t="s">
        <v>0</v>
      </c>
      <c r="E3" s="196"/>
      <c r="F3" s="196"/>
      <c r="G3" s="196"/>
      <c r="H3" s="196"/>
      <c r="I3" s="197"/>
      <c r="J3" s="4"/>
      <c r="M3" s="5">
        <v>2024</v>
      </c>
    </row>
    <row r="4" spans="2:14" ht="12.75" customHeight="1">
      <c r="D4" s="198" t="s">
        <v>1</v>
      </c>
      <c r="E4" s="199"/>
      <c r="F4" s="200"/>
      <c r="G4" s="8" t="s">
        <v>2</v>
      </c>
      <c r="H4" s="8" t="s">
        <v>3</v>
      </c>
      <c r="I4" s="9" t="s">
        <v>4</v>
      </c>
      <c r="J4" s="10"/>
      <c r="M4" s="11" t="s">
        <v>5</v>
      </c>
    </row>
    <row r="5" spans="2:14" ht="15.75" thickBot="1">
      <c r="D5" s="201" t="s">
        <v>6</v>
      </c>
      <c r="E5" s="202"/>
      <c r="F5" s="203"/>
      <c r="G5" s="12">
        <v>1300000</v>
      </c>
      <c r="H5" s="13">
        <v>9.14</v>
      </c>
      <c r="I5" s="14">
        <f>G5*H5</f>
        <v>11882000</v>
      </c>
      <c r="J5" s="15"/>
      <c r="M5" s="16">
        <v>244</v>
      </c>
      <c r="N5" s="17" t="s">
        <v>7</v>
      </c>
    </row>
    <row r="6" spans="2:14" ht="16.5" customHeight="1" thickBot="1">
      <c r="M6" s="18">
        <v>182</v>
      </c>
      <c r="N6" s="17" t="s">
        <v>8</v>
      </c>
    </row>
    <row r="7" spans="2:14" ht="21" customHeight="1">
      <c r="B7" s="204" t="s">
        <v>9</v>
      </c>
      <c r="C7" s="205"/>
      <c r="D7" s="205"/>
      <c r="E7" s="205"/>
      <c r="F7" s="205"/>
      <c r="G7" s="205"/>
      <c r="H7" s="205"/>
      <c r="I7" s="205"/>
      <c r="J7" s="205"/>
      <c r="K7" s="205"/>
      <c r="L7" s="206"/>
      <c r="M7" s="19"/>
      <c r="N7" s="20"/>
    </row>
    <row r="8" spans="2:14" s="2" customFormat="1" ht="65.25" customHeight="1">
      <c r="B8" s="21" t="s">
        <v>10</v>
      </c>
      <c r="C8" s="22" t="s">
        <v>11</v>
      </c>
      <c r="D8" s="23" t="s">
        <v>12</v>
      </c>
      <c r="E8" s="23" t="s">
        <v>13</v>
      </c>
      <c r="F8" s="22" t="s">
        <v>14</v>
      </c>
      <c r="G8" s="22" t="s">
        <v>15</v>
      </c>
      <c r="H8" s="22" t="s">
        <v>16</v>
      </c>
      <c r="I8" s="23" t="s">
        <v>17</v>
      </c>
      <c r="J8" s="22" t="s">
        <v>18</v>
      </c>
      <c r="K8" s="22" t="s">
        <v>19</v>
      </c>
      <c r="L8" s="24" t="s">
        <v>20</v>
      </c>
    </row>
    <row r="9" spans="2:14">
      <c r="B9" s="207" t="s">
        <v>21</v>
      </c>
      <c r="C9" s="208"/>
      <c r="D9" s="208"/>
      <c r="E9" s="208"/>
      <c r="F9" s="208"/>
      <c r="G9" s="208"/>
      <c r="H9" s="208"/>
      <c r="I9" s="208"/>
      <c r="J9" s="208"/>
      <c r="K9" s="208"/>
      <c r="L9" s="209"/>
      <c r="N9" s="25"/>
    </row>
    <row r="10" spans="2:14">
      <c r="B10" s="210" t="s">
        <v>22</v>
      </c>
      <c r="C10" s="211"/>
      <c r="D10" s="211"/>
      <c r="E10" s="211"/>
      <c r="F10" s="211"/>
      <c r="G10" s="211"/>
      <c r="H10" s="211"/>
      <c r="I10" s="211"/>
      <c r="J10" s="212" t="s">
        <v>23</v>
      </c>
      <c r="K10" s="213"/>
      <c r="L10" s="214"/>
    </row>
    <row r="11" spans="2:14" ht="24" customHeight="1">
      <c r="B11" s="226" t="s">
        <v>24</v>
      </c>
      <c r="C11" s="221">
        <v>4</v>
      </c>
      <c r="D11" s="222">
        <f>$I$5</f>
        <v>11882000</v>
      </c>
      <c r="E11" s="222">
        <v>2000</v>
      </c>
      <c r="F11" s="223">
        <v>0.08</v>
      </c>
      <c r="G11" s="222">
        <f>(D11+E11)*F11</f>
        <v>950720</v>
      </c>
      <c r="H11" s="30">
        <v>0.55969999999999998</v>
      </c>
      <c r="I11" s="219">
        <v>20</v>
      </c>
      <c r="J11" s="28">
        <f>(((((D11+G11)*H11)/30)*I11)/15)*15</f>
        <v>4788315.5893333331</v>
      </c>
      <c r="K11" s="28">
        <f>C11*J11</f>
        <v>19153262.357333332</v>
      </c>
      <c r="L11" s="217">
        <f>(K11+K12)/30*$M$5</f>
        <v>169396263.95622718</v>
      </c>
      <c r="M11" s="25" t="s">
        <v>25</v>
      </c>
      <c r="N11" s="25"/>
    </row>
    <row r="12" spans="2:14" ht="24" customHeight="1">
      <c r="B12" s="226"/>
      <c r="C12" s="221"/>
      <c r="D12" s="222"/>
      <c r="E12" s="222"/>
      <c r="F12" s="223"/>
      <c r="G12" s="222"/>
      <c r="H12" s="30">
        <v>0.44030000000000002</v>
      </c>
      <c r="I12" s="219"/>
      <c r="J12" s="28">
        <f>(((((D11+G11)*H12)/30)*I11)/9)*1</f>
        <v>418536.78637037042</v>
      </c>
      <c r="K12" s="28">
        <f>C11*J12</f>
        <v>1674147.1454814817</v>
      </c>
      <c r="L12" s="194"/>
      <c r="M12" s="25"/>
      <c r="N12" s="33"/>
    </row>
    <row r="13" spans="2:14" ht="16.5">
      <c r="B13" s="26" t="s">
        <v>26</v>
      </c>
      <c r="C13" s="27">
        <v>4</v>
      </c>
      <c r="D13" s="28">
        <f>$I$5</f>
        <v>11882000</v>
      </c>
      <c r="E13" s="28">
        <v>2000</v>
      </c>
      <c r="F13" s="29">
        <v>0.08</v>
      </c>
      <c r="G13" s="28">
        <f>(D13+E13)*F13</f>
        <v>950720</v>
      </c>
      <c r="H13" s="30">
        <v>0.55969999999999998</v>
      </c>
      <c r="I13" s="31">
        <v>4</v>
      </c>
      <c r="J13" s="28">
        <f>(((((D13+G13)*H13)/30)*I13)/15)*12</f>
        <v>766130.49429333338</v>
      </c>
      <c r="K13" s="28">
        <f>C13*J13</f>
        <v>3064521.9771733335</v>
      </c>
      <c r="L13" s="32">
        <f t="shared" ref="L13:L18" si="0">K13/30*$M$5</f>
        <v>24924778.747676447</v>
      </c>
      <c r="M13" s="25" t="s">
        <v>27</v>
      </c>
      <c r="N13" s="25"/>
    </row>
    <row r="14" spans="2:14" ht="24.75">
      <c r="B14" s="26" t="s">
        <v>28</v>
      </c>
      <c r="C14" s="27">
        <v>5</v>
      </c>
      <c r="D14" s="28">
        <f>$I$5</f>
        <v>11882000</v>
      </c>
      <c r="E14" s="28">
        <v>2000</v>
      </c>
      <c r="F14" s="29">
        <v>0.08</v>
      </c>
      <c r="G14" s="28">
        <f>(D14+E14)*F14</f>
        <v>950720</v>
      </c>
      <c r="H14" s="34">
        <v>1</v>
      </c>
      <c r="I14" s="31">
        <v>30</v>
      </c>
      <c r="J14" s="28">
        <f>(((((D14+G14)*H14)/30)*I14)/24)*24</f>
        <v>12832720</v>
      </c>
      <c r="K14" s="28">
        <f>C14*J14</f>
        <v>64163600</v>
      </c>
      <c r="L14" s="32">
        <f t="shared" si="0"/>
        <v>521863946.66666663</v>
      </c>
      <c r="M14" s="25"/>
      <c r="N14" s="25"/>
    </row>
    <row r="15" spans="2:14" ht="24.75">
      <c r="B15" s="26" t="s">
        <v>29</v>
      </c>
      <c r="C15" s="27">
        <v>1</v>
      </c>
      <c r="D15" s="28">
        <f>$I$5</f>
        <v>11882000</v>
      </c>
      <c r="E15" s="28">
        <v>2000</v>
      </c>
      <c r="F15" s="29">
        <v>0.11</v>
      </c>
      <c r="G15" s="28">
        <f>(D15+E15)*F15</f>
        <v>1307240</v>
      </c>
      <c r="H15" s="34">
        <v>1</v>
      </c>
      <c r="I15" s="31">
        <v>30</v>
      </c>
      <c r="J15" s="28">
        <f>(((((D15+G15)*H15)/30)*I15)/24)*24</f>
        <v>13189240</v>
      </c>
      <c r="K15" s="28">
        <f>C15*J15</f>
        <v>13189240</v>
      </c>
      <c r="L15" s="32">
        <f t="shared" si="0"/>
        <v>107272485.33333333</v>
      </c>
    </row>
    <row r="16" spans="2:14" ht="25.5" customHeight="1">
      <c r="B16" s="220" t="s">
        <v>30</v>
      </c>
      <c r="C16" s="221">
        <v>2</v>
      </c>
      <c r="D16" s="222">
        <f>$I$5</f>
        <v>11882000</v>
      </c>
      <c r="E16" s="222">
        <v>2000</v>
      </c>
      <c r="F16" s="223">
        <v>0.11</v>
      </c>
      <c r="G16" s="224">
        <f>(D16+E16)*F16</f>
        <v>1307240</v>
      </c>
      <c r="H16" s="30">
        <v>0.55969999999999998</v>
      </c>
      <c r="I16" s="219">
        <v>20</v>
      </c>
      <c r="J16" s="28">
        <f>(((((D16+G16)*H16)/30)*I16)/15)*15</f>
        <v>4921345.0853333334</v>
      </c>
      <c r="K16" s="28">
        <f>C16*J16</f>
        <v>9842690.1706666667</v>
      </c>
      <c r="L16" s="217">
        <f>(K16+K17)/30*$M$5</f>
        <v>87051224.542498782</v>
      </c>
    </row>
    <row r="17" spans="2:12" ht="25.5" customHeight="1">
      <c r="B17" s="220"/>
      <c r="C17" s="221"/>
      <c r="D17" s="222"/>
      <c r="E17" s="222"/>
      <c r="F17" s="223"/>
      <c r="G17" s="225"/>
      <c r="H17" s="30">
        <v>0.44030000000000002</v>
      </c>
      <c r="I17" s="219"/>
      <c r="J17" s="28">
        <f>(((((D16+G16)*H17)/30)*I16)/9)*1</f>
        <v>430164.62014814815</v>
      </c>
      <c r="K17" s="28">
        <f>C16*J17</f>
        <v>860329.24029629631</v>
      </c>
      <c r="L17" s="194"/>
    </row>
    <row r="18" spans="2:12" ht="25.5" customHeight="1" thickBot="1">
      <c r="B18" s="37" t="s">
        <v>31</v>
      </c>
      <c r="C18" s="38">
        <v>1</v>
      </c>
      <c r="D18" s="36">
        <f>$I$5</f>
        <v>11882000</v>
      </c>
      <c r="E18" s="36">
        <v>2000</v>
      </c>
      <c r="F18" s="39">
        <v>0.11</v>
      </c>
      <c r="G18" s="36">
        <f>(D18+E18)*F18</f>
        <v>1307240</v>
      </c>
      <c r="H18" s="40">
        <v>0.55969999999999998</v>
      </c>
      <c r="I18" s="41">
        <v>4</v>
      </c>
      <c r="J18" s="36">
        <f>(((((D18+G18)*H18)/30)*I18)/15)*12</f>
        <v>787415.21365333325</v>
      </c>
      <c r="K18" s="36">
        <f>C18*J18</f>
        <v>787415.21365333325</v>
      </c>
      <c r="L18" s="42">
        <f t="shared" si="0"/>
        <v>6404310.4043804435</v>
      </c>
    </row>
    <row r="19" spans="2:12" ht="25.5" customHeight="1">
      <c r="B19" s="227" t="s">
        <v>32</v>
      </c>
      <c r="C19" s="228"/>
      <c r="D19" s="228"/>
      <c r="E19" s="228"/>
      <c r="F19" s="228"/>
      <c r="G19" s="228"/>
      <c r="H19" s="228"/>
      <c r="I19" s="229"/>
      <c r="J19" s="230" t="s">
        <v>33</v>
      </c>
      <c r="K19" s="231"/>
      <c r="L19" s="232"/>
    </row>
    <row r="20" spans="2:12" ht="25.5" customHeight="1">
      <c r="B20" s="226" t="s">
        <v>34</v>
      </c>
      <c r="C20" s="221">
        <v>5</v>
      </c>
      <c r="D20" s="222">
        <f>$I$5</f>
        <v>11882000</v>
      </c>
      <c r="E20" s="224">
        <v>2000</v>
      </c>
      <c r="F20" s="223">
        <v>0.08</v>
      </c>
      <c r="G20" s="222">
        <f>(D20+E20)*F20</f>
        <v>950720</v>
      </c>
      <c r="H20" s="30">
        <v>0.55969999999999998</v>
      </c>
      <c r="I20" s="219">
        <v>5</v>
      </c>
      <c r="J20" s="28">
        <f>(((((D20+G20)*H20)/30)*I20)/15)*15</f>
        <v>1197078.8973333333</v>
      </c>
      <c r="K20" s="28">
        <f>C20*J20</f>
        <v>5985394.4866666663</v>
      </c>
      <c r="L20" s="217">
        <f>(K20+K21)/30*$M$6</f>
        <v>39485297.182419755</v>
      </c>
    </row>
    <row r="21" spans="2:12" ht="25.5" customHeight="1">
      <c r="B21" s="226"/>
      <c r="C21" s="221"/>
      <c r="D21" s="222"/>
      <c r="E21" s="225"/>
      <c r="F21" s="223"/>
      <c r="G21" s="222"/>
      <c r="H21" s="30">
        <v>0.44030000000000002</v>
      </c>
      <c r="I21" s="219"/>
      <c r="J21" s="28">
        <f>(((((D20+G20)*H21)/30)*I20)/9)*1</f>
        <v>104634.19659259261</v>
      </c>
      <c r="K21" s="28">
        <f>C20*J21</f>
        <v>523170.98296296305</v>
      </c>
      <c r="L21" s="194"/>
    </row>
    <row r="22" spans="2:12" ht="25.5" customHeight="1" thickBot="1">
      <c r="B22" s="43" t="s">
        <v>26</v>
      </c>
      <c r="C22" s="44">
        <v>5</v>
      </c>
      <c r="D22" s="45">
        <f>$I$5</f>
        <v>11882000</v>
      </c>
      <c r="E22" s="45">
        <v>2000</v>
      </c>
      <c r="F22" s="46">
        <v>0.08</v>
      </c>
      <c r="G22" s="45">
        <f>(D22+E22)*F22</f>
        <v>950720</v>
      </c>
      <c r="H22" s="47">
        <v>0.55969999999999998</v>
      </c>
      <c r="I22" s="48">
        <v>2</v>
      </c>
      <c r="J22" s="45">
        <f>(((((D22+G22)*H22)/30)*I22)/15)*12</f>
        <v>383065.24714666669</v>
      </c>
      <c r="K22" s="45">
        <f>C22*J22</f>
        <v>1915326.2357333335</v>
      </c>
      <c r="L22" s="49">
        <f t="shared" ref="L22" si="1">K22/30*$M$6</f>
        <v>11619645.830115557</v>
      </c>
    </row>
    <row r="23" spans="2:12" ht="11.25" customHeight="1" thickBot="1">
      <c r="B23" s="50"/>
      <c r="C23" s="51"/>
      <c r="D23" s="52"/>
      <c r="E23" s="52"/>
      <c r="F23" s="53"/>
      <c r="G23" s="52"/>
      <c r="H23" s="54"/>
      <c r="I23" s="55"/>
      <c r="J23" s="52"/>
      <c r="K23" s="52"/>
      <c r="L23" s="56"/>
    </row>
    <row r="24" spans="2:12">
      <c r="B24" s="233" t="s">
        <v>35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5"/>
    </row>
    <row r="25" spans="2:12">
      <c r="B25" s="236" t="s">
        <v>22</v>
      </c>
      <c r="C25" s="237"/>
      <c r="D25" s="237"/>
      <c r="E25" s="237"/>
      <c r="F25" s="237"/>
      <c r="G25" s="237"/>
      <c r="H25" s="237"/>
      <c r="I25" s="237"/>
      <c r="J25" s="238" t="s">
        <v>23</v>
      </c>
      <c r="K25" s="239"/>
      <c r="L25" s="240"/>
    </row>
    <row r="26" spans="2:12" ht="16.5">
      <c r="B26" s="35" t="s">
        <v>36</v>
      </c>
      <c r="C26" s="27">
        <v>2</v>
      </c>
      <c r="D26" s="28">
        <f>$I$5</f>
        <v>11882000</v>
      </c>
      <c r="E26" s="28">
        <v>2000</v>
      </c>
      <c r="F26" s="29">
        <v>0.08</v>
      </c>
      <c r="G26" s="28">
        <f>(D26+E26)*F26</f>
        <v>950720</v>
      </c>
      <c r="H26" s="34">
        <v>1</v>
      </c>
      <c r="I26" s="31">
        <v>30</v>
      </c>
      <c r="J26" s="28">
        <f>(((((D26+G26)*H26)/30)*I26)/24)*24</f>
        <v>12832720</v>
      </c>
      <c r="K26" s="28">
        <f>C26*J26</f>
        <v>25665440</v>
      </c>
      <c r="L26" s="32">
        <f>K26/30*$M$5</f>
        <v>208745578.66666666</v>
      </c>
    </row>
    <row r="27" spans="2:12" ht="24" customHeight="1">
      <c r="B27" s="220" t="s">
        <v>37</v>
      </c>
      <c r="C27" s="221">
        <v>1</v>
      </c>
      <c r="D27" s="222">
        <f>$I$5</f>
        <v>11882000</v>
      </c>
      <c r="E27" s="224">
        <v>2000</v>
      </c>
      <c r="F27" s="223">
        <v>0.11</v>
      </c>
      <c r="G27" s="222">
        <f>(D27+E27)*F27</f>
        <v>1307240</v>
      </c>
      <c r="H27" s="30">
        <v>0.55969999999999998</v>
      </c>
      <c r="I27" s="219">
        <v>24</v>
      </c>
      <c r="J27" s="28">
        <f>(((((D27+G27)*H27)/30)*I27)/15)*15</f>
        <v>5905614.1023999993</v>
      </c>
      <c r="K27" s="28">
        <f>C27*J27</f>
        <v>5905614.1023999993</v>
      </c>
      <c r="L27" s="217">
        <f>(K27+K28)/30*$M$5</f>
        <v>52230734.725499257</v>
      </c>
    </row>
    <row r="28" spans="2:12" ht="22.5" customHeight="1">
      <c r="B28" s="220"/>
      <c r="C28" s="221"/>
      <c r="D28" s="222"/>
      <c r="E28" s="225"/>
      <c r="F28" s="223"/>
      <c r="G28" s="222"/>
      <c r="H28" s="30">
        <v>0.44030000000000002</v>
      </c>
      <c r="I28" s="219"/>
      <c r="J28" s="28">
        <f>(((((D27+G27)*H28)/30)*I27)/9)*1</f>
        <v>516197.54417777783</v>
      </c>
      <c r="K28" s="28">
        <f>C27*J28</f>
        <v>516197.54417777783</v>
      </c>
      <c r="L28" s="194"/>
    </row>
    <row r="29" spans="2:12" ht="22.5" customHeight="1" thickBot="1">
      <c r="B29" s="43" t="s">
        <v>38</v>
      </c>
      <c r="C29" s="44">
        <v>1</v>
      </c>
      <c r="D29" s="57">
        <f>$I$5</f>
        <v>11882000</v>
      </c>
      <c r="E29" s="57">
        <v>2000</v>
      </c>
      <c r="F29" s="58">
        <v>0.08</v>
      </c>
      <c r="G29" s="57">
        <f>(D29+E29)*F29</f>
        <v>950720</v>
      </c>
      <c r="H29" s="59">
        <v>0.55969999999999998</v>
      </c>
      <c r="I29" s="60">
        <v>20</v>
      </c>
      <c r="J29" s="57">
        <f>(((((D29+G29)*H29)/30)*I29)/15)*12</f>
        <v>3830652.4714666661</v>
      </c>
      <c r="K29" s="57">
        <f>C29*J29</f>
        <v>3830652.4714666661</v>
      </c>
      <c r="L29" s="32">
        <f>K29/30*$M$5</f>
        <v>31155973.434595548</v>
      </c>
    </row>
    <row r="30" spans="2:12" ht="12" customHeight="1" thickBot="1">
      <c r="B30" s="61"/>
      <c r="C30" s="62"/>
      <c r="D30" s="63"/>
      <c r="E30" s="63"/>
      <c r="F30" s="64"/>
      <c r="G30" s="63"/>
      <c r="H30" s="65"/>
      <c r="I30" s="66"/>
      <c r="J30" s="63"/>
      <c r="K30" s="63"/>
      <c r="L30" s="15"/>
    </row>
    <row r="31" spans="2:12" ht="15" customHeight="1">
      <c r="B31" s="252" t="s">
        <v>39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4"/>
    </row>
    <row r="32" spans="2:12" ht="15" customHeight="1" thickBot="1">
      <c r="B32" s="255" t="s">
        <v>22</v>
      </c>
      <c r="C32" s="256"/>
      <c r="D32" s="256"/>
      <c r="E32" s="256"/>
      <c r="F32" s="256"/>
      <c r="G32" s="256"/>
      <c r="H32" s="256"/>
      <c r="I32" s="256"/>
      <c r="J32" s="257" t="s">
        <v>23</v>
      </c>
      <c r="K32" s="258"/>
      <c r="L32" s="259"/>
    </row>
    <row r="33" spans="1:15" ht="39" customHeight="1">
      <c r="B33" s="67" t="s">
        <v>40</v>
      </c>
      <c r="C33" s="68">
        <v>1</v>
      </c>
      <c r="D33" s="69">
        <f>$I$5</f>
        <v>11882000</v>
      </c>
      <c r="E33" s="69">
        <v>2000</v>
      </c>
      <c r="F33" s="70">
        <v>0.1</v>
      </c>
      <c r="G33" s="69">
        <f>(D33+E33)*F33</f>
        <v>1188400</v>
      </c>
      <c r="H33" s="71">
        <v>1</v>
      </c>
      <c r="I33" s="72">
        <v>30</v>
      </c>
      <c r="J33" s="69">
        <f>(((((D33+G33)*H33)/30)*I33)/24)*24</f>
        <v>13070400</v>
      </c>
      <c r="K33" s="69">
        <f>C33*J33</f>
        <v>13070400</v>
      </c>
      <c r="L33" s="73">
        <f>K33/30*$M$5</f>
        <v>106305920</v>
      </c>
    </row>
    <row r="34" spans="1:15" ht="38.25" customHeight="1">
      <c r="B34" s="26" t="s">
        <v>41</v>
      </c>
      <c r="C34" s="27">
        <v>1</v>
      </c>
      <c r="D34" s="74">
        <f>$I$5</f>
        <v>11882000</v>
      </c>
      <c r="E34" s="74">
        <v>2000</v>
      </c>
      <c r="F34" s="75">
        <v>0.08</v>
      </c>
      <c r="G34" s="74">
        <f>(D34+E34)*F34</f>
        <v>950720</v>
      </c>
      <c r="H34" s="76">
        <v>1</v>
      </c>
      <c r="I34" s="77">
        <v>30</v>
      </c>
      <c r="J34" s="74">
        <f>(((((D34+G34)*H34)/30)*I34)/24)*24</f>
        <v>12832720</v>
      </c>
      <c r="K34" s="74">
        <f>C34*J34</f>
        <v>12832720</v>
      </c>
      <c r="L34" s="78">
        <f>(K34/30)*$M$5</f>
        <v>104372789.33333333</v>
      </c>
    </row>
    <row r="35" spans="1:15" s="80" customFormat="1" ht="24" customHeight="1">
      <c r="A35" s="10"/>
      <c r="B35" s="226" t="s">
        <v>42</v>
      </c>
      <c r="C35" s="221">
        <v>1</v>
      </c>
      <c r="D35" s="260">
        <f>I5</f>
        <v>11882000</v>
      </c>
      <c r="E35" s="261">
        <v>2000</v>
      </c>
      <c r="F35" s="263">
        <v>0.08</v>
      </c>
      <c r="G35" s="260">
        <f>(D35+E35)*F35</f>
        <v>950720</v>
      </c>
      <c r="H35" s="79">
        <v>0.55969999999999998</v>
      </c>
      <c r="I35" s="264">
        <v>20</v>
      </c>
      <c r="J35" s="74">
        <f>(((((D35+G35)*H35)/30)*I35)/15)*15</f>
        <v>4788315.5893333331</v>
      </c>
      <c r="K35" s="74">
        <f>C35*J35</f>
        <v>4788315.5893333331</v>
      </c>
      <c r="L35" s="241">
        <f>(+K35+K36)/30*$M$5</f>
        <v>42349065.989056796</v>
      </c>
      <c r="M35" s="2"/>
    </row>
    <row r="36" spans="1:15" s="80" customFormat="1" ht="24" customHeight="1">
      <c r="A36" s="10"/>
      <c r="B36" s="226"/>
      <c r="C36" s="221"/>
      <c r="D36" s="260"/>
      <c r="E36" s="262"/>
      <c r="F36" s="263"/>
      <c r="G36" s="260"/>
      <c r="H36" s="79">
        <v>0.44030000000000002</v>
      </c>
      <c r="I36" s="264"/>
      <c r="J36" s="74">
        <f>(((((D35+G35)*H36)/30)*I35)/9)*1</f>
        <v>418536.78637037042</v>
      </c>
      <c r="K36" s="74">
        <f>C35*J36</f>
        <v>418536.78637037042</v>
      </c>
      <c r="L36" s="241"/>
      <c r="M36" s="2"/>
    </row>
    <row r="37" spans="1:15" s="80" customFormat="1" ht="24" customHeight="1" thickBot="1">
      <c r="A37" s="10"/>
      <c r="B37" s="81" t="s">
        <v>43</v>
      </c>
      <c r="C37" s="82">
        <v>1</v>
      </c>
      <c r="D37" s="57">
        <f>$I$67</f>
        <v>11882000</v>
      </c>
      <c r="E37" s="57">
        <v>2000</v>
      </c>
      <c r="F37" s="58">
        <v>0.08</v>
      </c>
      <c r="G37" s="57">
        <f>(D37+E37)*F37</f>
        <v>950720</v>
      </c>
      <c r="H37" s="59">
        <v>0.55969999999999998</v>
      </c>
      <c r="I37" s="60">
        <v>4</v>
      </c>
      <c r="J37" s="57">
        <f>(((((D37+G37)*H37)/30)*I37)/15)*12</f>
        <v>766130.49429333338</v>
      </c>
      <c r="K37" s="57">
        <f t="shared" ref="K37" si="2">C37*J37</f>
        <v>766130.49429333338</v>
      </c>
      <c r="L37" s="49">
        <f>K37/30*$M$5</f>
        <v>6231194.6869191118</v>
      </c>
      <c r="M37" s="2"/>
    </row>
    <row r="38" spans="1:15" ht="24" customHeight="1">
      <c r="B38" s="242" t="s">
        <v>44</v>
      </c>
      <c r="C38" s="244">
        <v>1</v>
      </c>
      <c r="D38" s="246">
        <f>$I$67</f>
        <v>11882000</v>
      </c>
      <c r="E38" s="246">
        <v>2000</v>
      </c>
      <c r="F38" s="248">
        <v>0.11</v>
      </c>
      <c r="G38" s="246">
        <f>(D38+E38)*F38</f>
        <v>1307240</v>
      </c>
      <c r="H38" s="84">
        <v>0.55969999999999998</v>
      </c>
      <c r="I38" s="250">
        <v>20</v>
      </c>
      <c r="J38" s="86">
        <f>(((((D38+G38)*H38)/30)*I38)/15)*15</f>
        <v>4921345.0853333334</v>
      </c>
      <c r="K38" s="86">
        <f>C38*J38</f>
        <v>4921345.0853333334</v>
      </c>
      <c r="L38" s="215">
        <f>(+K38+K39)/30*$M$5</f>
        <v>43525612.271249391</v>
      </c>
    </row>
    <row r="39" spans="1:15" ht="24" customHeight="1">
      <c r="B39" s="243"/>
      <c r="C39" s="245"/>
      <c r="D39" s="247"/>
      <c r="E39" s="247"/>
      <c r="F39" s="249"/>
      <c r="G39" s="247"/>
      <c r="H39" s="84">
        <v>0.44030000000000002</v>
      </c>
      <c r="I39" s="251"/>
      <c r="J39" s="86">
        <f>(((((D38+G38)*H39)/30)*I38)/9)*1</f>
        <v>430164.62014814815</v>
      </c>
      <c r="K39" s="86">
        <f>C38*J39</f>
        <v>430164.62014814815</v>
      </c>
      <c r="L39" s="216"/>
    </row>
    <row r="40" spans="1:15" ht="27.75" customHeight="1" thickBot="1">
      <c r="B40" s="88" t="s">
        <v>45</v>
      </c>
      <c r="C40" s="89">
        <v>1</v>
      </c>
      <c r="D40" s="90">
        <f>$I$67</f>
        <v>11882000</v>
      </c>
      <c r="E40" s="90">
        <v>2000</v>
      </c>
      <c r="F40" s="91">
        <v>0.11</v>
      </c>
      <c r="G40" s="90">
        <f>(D40+E40)*F40</f>
        <v>1307240</v>
      </c>
      <c r="H40" s="92">
        <v>0.55969999999999998</v>
      </c>
      <c r="I40" s="93">
        <v>4</v>
      </c>
      <c r="J40" s="94">
        <f>(((((D40+G40)*H40)/30)*I40)/15)*12</f>
        <v>787415.21365333325</v>
      </c>
      <c r="K40" s="94">
        <f>C40*J40</f>
        <v>787415.21365333325</v>
      </c>
      <c r="L40" s="87">
        <f>K40/30*$M$5</f>
        <v>6404310.4043804435</v>
      </c>
    </row>
    <row r="41" spans="1:15" ht="7.5" customHeight="1">
      <c r="B41" s="95"/>
      <c r="C41" s="62"/>
      <c r="D41" s="96"/>
      <c r="E41" s="96"/>
      <c r="F41" s="97"/>
      <c r="G41" s="96"/>
      <c r="H41" s="98"/>
      <c r="I41" s="99"/>
      <c r="J41" s="96"/>
      <c r="K41" s="96"/>
      <c r="L41" s="100"/>
    </row>
    <row r="42" spans="1:15" ht="14.45" customHeight="1">
      <c r="B42" s="277" t="s">
        <v>46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9"/>
    </row>
    <row r="43" spans="1:15" ht="15.75" thickBot="1">
      <c r="B43" s="280" t="s">
        <v>22</v>
      </c>
      <c r="C43" s="281"/>
      <c r="D43" s="281"/>
      <c r="E43" s="281"/>
      <c r="F43" s="281"/>
      <c r="G43" s="281"/>
      <c r="H43" s="281"/>
      <c r="I43" s="281"/>
      <c r="J43" s="212" t="s">
        <v>23</v>
      </c>
      <c r="K43" s="213"/>
      <c r="L43" s="214"/>
    </row>
    <row r="44" spans="1:15" ht="56.25">
      <c r="B44" s="101" t="s">
        <v>47</v>
      </c>
      <c r="C44" s="68">
        <v>2</v>
      </c>
      <c r="D44" s="102">
        <f>$I$5</f>
        <v>11882000</v>
      </c>
      <c r="E44" s="102">
        <v>2000</v>
      </c>
      <c r="F44" s="103">
        <v>0.08</v>
      </c>
      <c r="G44" s="102">
        <f>(D44+E44)*F44</f>
        <v>950720</v>
      </c>
      <c r="H44" s="104">
        <v>1</v>
      </c>
      <c r="I44" s="105">
        <v>30</v>
      </c>
      <c r="J44" s="102">
        <f t="shared" ref="J44:J46" si="3">(((((D44+G44)*H44)/30)*I44)/24)*24</f>
        <v>12832720</v>
      </c>
      <c r="K44" s="102">
        <f t="shared" ref="K44:K52" si="4">C44*J44</f>
        <v>25665440</v>
      </c>
      <c r="L44" s="106">
        <f>K44/30*$M$5</f>
        <v>208745578.66666666</v>
      </c>
    </row>
    <row r="45" spans="1:15" ht="33.75">
      <c r="B45" s="107" t="s">
        <v>48</v>
      </c>
      <c r="C45" s="27">
        <v>1</v>
      </c>
      <c r="D45" s="28">
        <f t="shared" ref="D45:D54" si="5">$I$5</f>
        <v>11882000</v>
      </c>
      <c r="E45" s="28">
        <v>2000</v>
      </c>
      <c r="F45" s="29">
        <v>0.11</v>
      </c>
      <c r="G45" s="28">
        <f>(D45+E45)*F45</f>
        <v>1307240</v>
      </c>
      <c r="H45" s="34">
        <v>1</v>
      </c>
      <c r="I45" s="31">
        <v>30</v>
      </c>
      <c r="J45" s="28">
        <f t="shared" si="3"/>
        <v>13189240</v>
      </c>
      <c r="K45" s="28">
        <f>C45*J45</f>
        <v>13189240</v>
      </c>
      <c r="L45" s="32">
        <f>K45/30*$M$5</f>
        <v>107272485.33333333</v>
      </c>
      <c r="N45" s="108"/>
      <c r="O45" s="108"/>
    </row>
    <row r="46" spans="1:15" ht="33.75">
      <c r="B46" s="107" t="s">
        <v>49</v>
      </c>
      <c r="C46" s="27">
        <v>5</v>
      </c>
      <c r="D46" s="28">
        <f t="shared" si="5"/>
        <v>11882000</v>
      </c>
      <c r="E46" s="28">
        <v>2000</v>
      </c>
      <c r="F46" s="29">
        <v>0.1</v>
      </c>
      <c r="G46" s="28">
        <f>(D46+E46)*F46</f>
        <v>1188400</v>
      </c>
      <c r="H46" s="34">
        <v>1</v>
      </c>
      <c r="I46" s="31">
        <v>30</v>
      </c>
      <c r="J46" s="28">
        <f t="shared" si="3"/>
        <v>13070400</v>
      </c>
      <c r="K46" s="28">
        <f>C46*J46</f>
        <v>65352000</v>
      </c>
      <c r="L46" s="32">
        <f>K46/30*$M$5</f>
        <v>531529600</v>
      </c>
      <c r="N46" s="109"/>
      <c r="O46" s="109"/>
    </row>
    <row r="47" spans="1:15" ht="33.75">
      <c r="B47" s="107" t="s">
        <v>50</v>
      </c>
      <c r="C47" s="27">
        <v>5</v>
      </c>
      <c r="D47" s="28">
        <f t="shared" si="5"/>
        <v>11882000</v>
      </c>
      <c r="E47" s="28">
        <v>2000</v>
      </c>
      <c r="F47" s="29">
        <v>0.08</v>
      </c>
      <c r="G47" s="28">
        <f>(D47+E47)*F47</f>
        <v>950720</v>
      </c>
      <c r="H47" s="34">
        <v>1</v>
      </c>
      <c r="I47" s="31">
        <v>30</v>
      </c>
      <c r="J47" s="28">
        <f>(((((D47+G47)*H47)/30)*I47)/24)*24</f>
        <v>12832720</v>
      </c>
      <c r="K47" s="28">
        <f>C47*J47</f>
        <v>64163600</v>
      </c>
      <c r="L47" s="32">
        <f>K47/30*$M$5</f>
        <v>521863946.66666663</v>
      </c>
      <c r="N47" s="109"/>
      <c r="O47" s="109"/>
    </row>
    <row r="48" spans="1:15" ht="34.5" thickBot="1">
      <c r="B48" s="110" t="s">
        <v>51</v>
      </c>
      <c r="C48" s="44">
        <v>2</v>
      </c>
      <c r="D48" s="45">
        <f t="shared" si="5"/>
        <v>11882000</v>
      </c>
      <c r="E48" s="45">
        <v>2000</v>
      </c>
      <c r="F48" s="46">
        <v>0.08</v>
      </c>
      <c r="G48" s="45">
        <f>(D48+E48)*F48</f>
        <v>950720</v>
      </c>
      <c r="H48" s="47">
        <v>0.55969999999999998</v>
      </c>
      <c r="I48" s="48">
        <v>24</v>
      </c>
      <c r="J48" s="45">
        <f>(((((D48+G48)*H48)/30)*I48)/15)*12</f>
        <v>4596782.9657600001</v>
      </c>
      <c r="K48" s="45">
        <f t="shared" ref="K48" si="6">C48*J48</f>
        <v>9193565.9315200001</v>
      </c>
      <c r="L48" s="49">
        <f>K48/30*$M$5</f>
        <v>74774336.243029326</v>
      </c>
      <c r="N48" s="109"/>
      <c r="O48" s="109"/>
    </row>
    <row r="49" spans="2:15" ht="20.45" customHeight="1">
      <c r="B49" s="282" t="s">
        <v>32</v>
      </c>
      <c r="C49" s="283"/>
      <c r="D49" s="283"/>
      <c r="E49" s="283"/>
      <c r="F49" s="283"/>
      <c r="G49" s="283"/>
      <c r="H49" s="283"/>
      <c r="I49" s="283"/>
      <c r="J49" s="284" t="s">
        <v>33</v>
      </c>
      <c r="K49" s="284"/>
      <c r="L49" s="285"/>
      <c r="N49" s="109"/>
      <c r="O49" s="109"/>
    </row>
    <row r="50" spans="2:15" ht="28.5" customHeight="1">
      <c r="B50" s="111" t="s">
        <v>52</v>
      </c>
      <c r="C50" s="192">
        <v>6</v>
      </c>
      <c r="D50" s="28">
        <f t="shared" si="5"/>
        <v>11882000</v>
      </c>
      <c r="E50" s="28">
        <v>2000</v>
      </c>
      <c r="F50" s="29">
        <v>0.08</v>
      </c>
      <c r="G50" s="28">
        <f>(D50+E50)*F50</f>
        <v>950720</v>
      </c>
      <c r="H50" s="30">
        <v>0.55969999999999998</v>
      </c>
      <c r="I50" s="31">
        <v>20</v>
      </c>
      <c r="J50" s="28">
        <f>(((((D50+G50)*H50)/30)*I50)/15)*12</f>
        <v>3830652.4714666661</v>
      </c>
      <c r="K50" s="28">
        <f t="shared" si="4"/>
        <v>22983914.828799997</v>
      </c>
      <c r="L50" s="32">
        <f>(K50/30)*$M$6</f>
        <v>139435749.96138665</v>
      </c>
      <c r="N50" s="109"/>
      <c r="O50" s="109"/>
    </row>
    <row r="51" spans="2:15" ht="28.5" customHeight="1">
      <c r="B51" s="111" t="s">
        <v>53</v>
      </c>
      <c r="C51" s="192">
        <v>4</v>
      </c>
      <c r="D51" s="28">
        <f t="shared" si="5"/>
        <v>11882000</v>
      </c>
      <c r="E51" s="28">
        <v>2000</v>
      </c>
      <c r="F51" s="29">
        <v>0.08</v>
      </c>
      <c r="G51" s="28">
        <f>(D51+E51)*F51</f>
        <v>950720</v>
      </c>
      <c r="H51" s="30">
        <v>0.55969999999999998</v>
      </c>
      <c r="I51" s="31">
        <v>4</v>
      </c>
      <c r="J51" s="28">
        <f>(((((D51+G51)*H51)/30)*I51)/15)*12</f>
        <v>766130.49429333338</v>
      </c>
      <c r="K51" s="28">
        <f t="shared" si="4"/>
        <v>3064521.9771733335</v>
      </c>
      <c r="L51" s="32">
        <f>(K51/30)*$M$6</f>
        <v>18591433.328184891</v>
      </c>
      <c r="N51" s="109"/>
      <c r="O51" s="109"/>
    </row>
    <row r="52" spans="2:15" ht="40.5" customHeight="1">
      <c r="B52" s="111" t="s">
        <v>54</v>
      </c>
      <c r="C52" s="27">
        <v>2</v>
      </c>
      <c r="D52" s="28">
        <f t="shared" si="5"/>
        <v>11882000</v>
      </c>
      <c r="E52" s="28">
        <v>2000</v>
      </c>
      <c r="F52" s="29">
        <v>0.11</v>
      </c>
      <c r="G52" s="28">
        <f>(D52+E52)*F52</f>
        <v>1307240</v>
      </c>
      <c r="H52" s="30">
        <v>0.55969999999999998</v>
      </c>
      <c r="I52" s="31">
        <v>20</v>
      </c>
      <c r="J52" s="28">
        <f>(((((D52+G52)*H52)/30)*I52)/15)*12</f>
        <v>3937076.068266667</v>
      </c>
      <c r="K52" s="28">
        <f t="shared" si="4"/>
        <v>7874152.1365333339</v>
      </c>
      <c r="L52" s="32">
        <f>(K52/30)*$M$6</f>
        <v>47769856.294968896</v>
      </c>
      <c r="N52" s="109"/>
      <c r="O52" s="109"/>
    </row>
    <row r="53" spans="2:15" ht="24" customHeight="1">
      <c r="B53" s="286" t="s">
        <v>55</v>
      </c>
      <c r="C53" s="221">
        <v>4</v>
      </c>
      <c r="D53" s="222">
        <f t="shared" si="5"/>
        <v>11882000</v>
      </c>
      <c r="E53" s="224">
        <v>2000</v>
      </c>
      <c r="F53" s="223">
        <v>0.08</v>
      </c>
      <c r="G53" s="222">
        <f>(D53+E53)*F53</f>
        <v>950720</v>
      </c>
      <c r="H53" s="30">
        <v>0.55969999999999998</v>
      </c>
      <c r="I53" s="266">
        <v>20</v>
      </c>
      <c r="J53" s="28">
        <f>(((((D53+G53)*H53)/30)*I53)/15)*15</f>
        <v>4788315.5893333331</v>
      </c>
      <c r="K53" s="28">
        <f>C53*J53</f>
        <v>19153262.357333332</v>
      </c>
      <c r="L53" s="217">
        <f>(K53+K54)/30*$M$6</f>
        <v>126352950.98374322</v>
      </c>
      <c r="M53" s="109"/>
      <c r="N53" s="109"/>
      <c r="O53" s="109"/>
    </row>
    <row r="54" spans="2:15" ht="24" customHeight="1" thickBot="1">
      <c r="B54" s="287"/>
      <c r="C54" s="288"/>
      <c r="D54" s="265">
        <f t="shared" si="5"/>
        <v>11882000</v>
      </c>
      <c r="E54" s="289"/>
      <c r="F54" s="290"/>
      <c r="G54" s="265"/>
      <c r="H54" s="47">
        <v>0.44030000000000002</v>
      </c>
      <c r="I54" s="267"/>
      <c r="J54" s="45">
        <f>(((((D53+G53)*H54)/30)*I53)/9)*1</f>
        <v>418536.78637037042</v>
      </c>
      <c r="K54" s="45">
        <f>C53*J54</f>
        <v>1674147.1454814817</v>
      </c>
      <c r="L54" s="194"/>
      <c r="N54" s="109"/>
      <c r="O54" s="109"/>
    </row>
    <row r="55" spans="2:15">
      <c r="B55" s="268" t="s">
        <v>56</v>
      </c>
      <c r="C55" s="269"/>
      <c r="D55" s="269"/>
      <c r="E55" s="269"/>
      <c r="F55" s="269"/>
      <c r="G55" s="269"/>
      <c r="H55" s="269"/>
      <c r="I55" s="269"/>
      <c r="J55" s="269"/>
      <c r="K55" s="270"/>
      <c r="L55" s="112">
        <f>SUM(L11:L18)+SUM(L26:L29)+SUM(L33:L40)+SUM(L20:L22)+SUM(L44:L48)+SUM(L50:L54)</f>
        <v>3345675069.6529984</v>
      </c>
    </row>
    <row r="56" spans="2:15">
      <c r="B56" s="271" t="s">
        <v>57</v>
      </c>
      <c r="C56" s="272"/>
      <c r="D56" s="272"/>
      <c r="E56" s="272"/>
      <c r="F56" s="272"/>
      <c r="G56" s="272"/>
      <c r="H56" s="272"/>
      <c r="I56" s="272"/>
      <c r="J56" s="272"/>
      <c r="K56" s="273"/>
      <c r="L56" s="113">
        <f>L55*10%</f>
        <v>334567506.96529984</v>
      </c>
    </row>
    <row r="57" spans="2:15">
      <c r="B57" s="271" t="s">
        <v>58</v>
      </c>
      <c r="C57" s="272"/>
      <c r="D57" s="272"/>
      <c r="E57" s="272"/>
      <c r="F57" s="272"/>
      <c r="G57" s="272"/>
      <c r="H57" s="272"/>
      <c r="I57" s="272"/>
      <c r="J57" s="272"/>
      <c r="K57" s="273"/>
      <c r="L57" s="113">
        <f>L56*19%</f>
        <v>63567826.323406972</v>
      </c>
    </row>
    <row r="58" spans="2:15">
      <c r="B58" s="274" t="s">
        <v>59</v>
      </c>
      <c r="C58" s="275"/>
      <c r="D58" s="275"/>
      <c r="E58" s="275"/>
      <c r="F58" s="275"/>
      <c r="G58" s="275"/>
      <c r="H58" s="275"/>
      <c r="I58" s="275"/>
      <c r="J58" s="275"/>
      <c r="K58" s="276"/>
      <c r="L58" s="114">
        <f>L55+L57</f>
        <v>3409242895.9764056</v>
      </c>
    </row>
    <row r="59" spans="2:15" ht="30.6" customHeight="1">
      <c r="B59" s="309" t="s">
        <v>60</v>
      </c>
      <c r="C59" s="312" t="s">
        <v>61</v>
      </c>
      <c r="D59" s="313"/>
      <c r="E59" s="314"/>
      <c r="F59" s="115">
        <v>6</v>
      </c>
      <c r="G59" s="115" t="s">
        <v>62</v>
      </c>
      <c r="H59" s="116">
        <v>170000</v>
      </c>
      <c r="I59" s="115" t="s">
        <v>63</v>
      </c>
      <c r="J59" s="116">
        <f>F59*H59</f>
        <v>1020000</v>
      </c>
      <c r="K59" s="115" t="s">
        <v>64</v>
      </c>
      <c r="L59" s="117">
        <f>(J59/30)*M5</f>
        <v>8296000</v>
      </c>
    </row>
    <row r="60" spans="2:15" ht="30.6" customHeight="1">
      <c r="B60" s="310"/>
      <c r="C60" s="312" t="s">
        <v>65</v>
      </c>
      <c r="D60" s="313"/>
      <c r="E60" s="314"/>
      <c r="F60" s="115">
        <v>60</v>
      </c>
      <c r="G60" s="115" t="s">
        <v>62</v>
      </c>
      <c r="H60" s="116">
        <v>50000</v>
      </c>
      <c r="I60" s="115" t="s">
        <v>63</v>
      </c>
      <c r="J60" s="116">
        <f>F60*H60</f>
        <v>3000000</v>
      </c>
      <c r="K60" s="115" t="s">
        <v>64</v>
      </c>
      <c r="L60" s="117">
        <f>(J60/30)*M6</f>
        <v>18200000</v>
      </c>
    </row>
    <row r="61" spans="2:15" ht="28.5" customHeight="1">
      <c r="B61" s="311"/>
      <c r="C61" s="312" t="s">
        <v>66</v>
      </c>
      <c r="D61" s="313"/>
      <c r="E61" s="314"/>
      <c r="F61" s="118">
        <v>6</v>
      </c>
      <c r="G61" s="118" t="s">
        <v>62</v>
      </c>
      <c r="H61" s="119">
        <v>30000</v>
      </c>
      <c r="I61" s="118" t="s">
        <v>63</v>
      </c>
      <c r="J61" s="119">
        <f>F61*H61</f>
        <v>180000</v>
      </c>
      <c r="K61" s="118" t="s">
        <v>67</v>
      </c>
      <c r="L61" s="117">
        <f>(J61/30)*M5</f>
        <v>1464000</v>
      </c>
    </row>
    <row r="62" spans="2:15" ht="24" customHeight="1">
      <c r="B62" s="315" t="s">
        <v>68</v>
      </c>
      <c r="C62" s="316"/>
      <c r="D62" s="316"/>
      <c r="E62" s="316"/>
      <c r="F62" s="316"/>
      <c r="G62" s="316"/>
      <c r="H62" s="316"/>
      <c r="I62" s="316"/>
      <c r="J62" s="316"/>
      <c r="K62" s="317"/>
      <c r="L62" s="113">
        <f>SUM(L59:L61)</f>
        <v>27960000</v>
      </c>
    </row>
    <row r="63" spans="2:15" ht="24" customHeight="1" thickBot="1">
      <c r="B63" s="318" t="s">
        <v>69</v>
      </c>
      <c r="C63" s="319"/>
      <c r="D63" s="319"/>
      <c r="E63" s="319"/>
      <c r="F63" s="319"/>
      <c r="G63" s="319"/>
      <c r="H63" s="319"/>
      <c r="I63" s="319"/>
      <c r="J63" s="319"/>
      <c r="K63" s="320"/>
      <c r="L63" s="120">
        <f>L58+L62</f>
        <v>3437202895.9764056</v>
      </c>
    </row>
    <row r="64" spans="2:15" ht="24" customHeight="1" thickBot="1"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2"/>
    </row>
    <row r="65" spans="2:14" ht="15.75">
      <c r="B65" s="123"/>
      <c r="C65" s="121"/>
      <c r="D65" s="291" t="s">
        <v>70</v>
      </c>
      <c r="E65" s="292"/>
      <c r="F65" s="292"/>
      <c r="G65" s="292"/>
      <c r="H65" s="292"/>
      <c r="I65" s="293"/>
      <c r="J65" s="4"/>
      <c r="K65" s="124"/>
      <c r="L65" s="125"/>
      <c r="M65" s="126">
        <v>2025</v>
      </c>
    </row>
    <row r="66" spans="2:14">
      <c r="B66" s="123"/>
      <c r="C66" s="121"/>
      <c r="D66" s="6"/>
      <c r="E66" s="7"/>
      <c r="F66" s="8" t="s">
        <v>71</v>
      </c>
      <c r="G66" s="8" t="s">
        <v>2</v>
      </c>
      <c r="H66" s="8" t="s">
        <v>3</v>
      </c>
      <c r="I66" s="9" t="s">
        <v>4</v>
      </c>
      <c r="J66" s="127"/>
      <c r="K66" s="124"/>
      <c r="L66" s="125"/>
      <c r="M66" s="128" t="s">
        <v>5</v>
      </c>
    </row>
    <row r="67" spans="2:14">
      <c r="B67" s="123"/>
      <c r="C67" s="121"/>
      <c r="D67" s="129" t="s">
        <v>6</v>
      </c>
      <c r="E67" s="130"/>
      <c r="F67" s="131"/>
      <c r="G67" s="132">
        <v>1300000</v>
      </c>
      <c r="H67" s="133">
        <v>9.14</v>
      </c>
      <c r="I67" s="134">
        <f>G67*H67</f>
        <v>11882000</v>
      </c>
      <c r="J67" s="135"/>
      <c r="K67" s="124"/>
      <c r="L67" s="125"/>
      <c r="M67" s="136">
        <v>89</v>
      </c>
      <c r="N67" s="17" t="s">
        <v>7</v>
      </c>
    </row>
    <row r="68" spans="2:14" ht="15.75" thickBot="1">
      <c r="B68" s="123"/>
      <c r="C68" s="121"/>
      <c r="D68" s="137" t="s">
        <v>72</v>
      </c>
      <c r="E68" s="138"/>
      <c r="F68" s="139">
        <v>0.2</v>
      </c>
      <c r="G68" s="12">
        <f>G67*(1+F68)</f>
        <v>1560000</v>
      </c>
      <c r="H68" s="13">
        <v>9.14</v>
      </c>
      <c r="I68" s="14">
        <f>G68*H68</f>
        <v>14258400</v>
      </c>
      <c r="J68" s="135"/>
      <c r="K68" s="124"/>
      <c r="L68" s="125"/>
      <c r="M68" s="140">
        <v>84</v>
      </c>
      <c r="N68" s="17" t="s">
        <v>8</v>
      </c>
    </row>
    <row r="69" spans="2:14" ht="15.75" customHeight="1" thickBot="1">
      <c r="B69" s="123"/>
      <c r="C69" s="121"/>
      <c r="D69" s="121"/>
      <c r="E69" s="121"/>
      <c r="F69" s="121"/>
      <c r="G69" s="121"/>
      <c r="H69" s="121"/>
      <c r="I69" s="121"/>
      <c r="J69" s="121"/>
      <c r="K69" s="121"/>
      <c r="L69" s="125"/>
      <c r="M69" s="141"/>
      <c r="N69" s="20"/>
    </row>
    <row r="70" spans="2:14" s="142" customFormat="1" ht="15.75">
      <c r="B70" s="294">
        <v>2025</v>
      </c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4" ht="30" customHeight="1">
      <c r="B71" s="297" t="s">
        <v>73</v>
      </c>
      <c r="C71" s="298"/>
      <c r="D71" s="298"/>
      <c r="E71" s="298"/>
      <c r="F71" s="298"/>
      <c r="G71" s="298"/>
      <c r="H71" s="298"/>
      <c r="I71" s="298"/>
      <c r="J71" s="298"/>
      <c r="K71" s="298"/>
      <c r="L71" s="299"/>
    </row>
    <row r="72" spans="2:14" ht="63">
      <c r="B72" s="143" t="s">
        <v>10</v>
      </c>
      <c r="C72" s="144" t="s">
        <v>11</v>
      </c>
      <c r="D72" s="145" t="s">
        <v>74</v>
      </c>
      <c r="E72" s="145" t="s">
        <v>13</v>
      </c>
      <c r="F72" s="144" t="s">
        <v>14</v>
      </c>
      <c r="G72" s="144" t="s">
        <v>15</v>
      </c>
      <c r="H72" s="144" t="s">
        <v>16</v>
      </c>
      <c r="I72" s="144" t="s">
        <v>17</v>
      </c>
      <c r="J72" s="144" t="s">
        <v>18</v>
      </c>
      <c r="K72" s="144" t="s">
        <v>19</v>
      </c>
      <c r="L72" s="146" t="s">
        <v>20</v>
      </c>
    </row>
    <row r="73" spans="2:14">
      <c r="B73" s="300" t="s">
        <v>21</v>
      </c>
      <c r="C73" s="301"/>
      <c r="D73" s="301"/>
      <c r="E73" s="301"/>
      <c r="F73" s="301"/>
      <c r="G73" s="301"/>
      <c r="H73" s="301"/>
      <c r="I73" s="301"/>
      <c r="J73" s="301"/>
      <c r="K73" s="301"/>
      <c r="L73" s="302"/>
    </row>
    <row r="74" spans="2:14" ht="15.75" customHeight="1">
      <c r="B74" s="303" t="s">
        <v>75</v>
      </c>
      <c r="C74" s="304"/>
      <c r="D74" s="304"/>
      <c r="E74" s="304"/>
      <c r="F74" s="304"/>
      <c r="G74" s="304"/>
      <c r="H74" s="304"/>
      <c r="I74" s="305"/>
      <c r="J74" s="306" t="s">
        <v>76</v>
      </c>
      <c r="K74" s="307"/>
      <c r="L74" s="308"/>
    </row>
    <row r="75" spans="2:14" s="142" customFormat="1" ht="22.5" customHeight="1">
      <c r="B75" s="321" t="s">
        <v>77</v>
      </c>
      <c r="C75" s="244">
        <v>4</v>
      </c>
      <c r="D75" s="323">
        <f>$I$68</f>
        <v>14258400</v>
      </c>
      <c r="E75" s="323">
        <v>2000</v>
      </c>
      <c r="F75" s="325">
        <v>0.08</v>
      </c>
      <c r="G75" s="323">
        <f>(D75+E75)*F75</f>
        <v>1140832</v>
      </c>
      <c r="H75" s="84">
        <v>0.55969999999999998</v>
      </c>
      <c r="I75" s="250">
        <v>20</v>
      </c>
      <c r="J75" s="86">
        <f>(((((D75+G75)*H75)/30)*I75)/15)*15</f>
        <v>5745966.7669333331</v>
      </c>
      <c r="K75" s="86">
        <f>C75*J75</f>
        <v>22983867.067733333</v>
      </c>
      <c r="L75" s="218">
        <f>(K75+K76)/30*$M$67</f>
        <v>74145423.753923953</v>
      </c>
    </row>
    <row r="76" spans="2:14" s="142" customFormat="1" ht="22.5" customHeight="1">
      <c r="B76" s="322"/>
      <c r="C76" s="245"/>
      <c r="D76" s="324"/>
      <c r="E76" s="324"/>
      <c r="F76" s="326"/>
      <c r="G76" s="324"/>
      <c r="H76" s="84">
        <v>0.44030000000000002</v>
      </c>
      <c r="I76" s="251"/>
      <c r="J76" s="86">
        <f>(((((D75+G75)*H76)/30)*I75)/9)*1</f>
        <v>502243.09997037041</v>
      </c>
      <c r="K76" s="86">
        <f>C75*J76</f>
        <v>2008972.3998814817</v>
      </c>
      <c r="L76" s="216"/>
      <c r="M76" s="150"/>
    </row>
    <row r="77" spans="2:14" s="142" customFormat="1" ht="16.5">
      <c r="B77" s="151" t="s">
        <v>78</v>
      </c>
      <c r="C77" s="152">
        <v>4</v>
      </c>
      <c r="D77" s="86">
        <f>$I$68</f>
        <v>14258400</v>
      </c>
      <c r="E77" s="86">
        <v>2000</v>
      </c>
      <c r="F77" s="153">
        <v>0.08</v>
      </c>
      <c r="G77" s="86">
        <f>(D77+E77)*F77</f>
        <v>1140832</v>
      </c>
      <c r="H77" s="84">
        <v>0.55969999999999998</v>
      </c>
      <c r="I77" s="154">
        <v>4</v>
      </c>
      <c r="J77" s="86">
        <f>(((((D77+G77)*H77)/30)*I77)/15)*12</f>
        <v>919354.68270933337</v>
      </c>
      <c r="K77" s="86">
        <f t="shared" ref="K77:K79" si="7">C77*J77</f>
        <v>3677418.7308373335</v>
      </c>
      <c r="L77" s="87">
        <f t="shared" ref="L77:L82" si="8">(K77/30)*$M$67</f>
        <v>10909675.568150757</v>
      </c>
    </row>
    <row r="78" spans="2:14" s="142" customFormat="1" ht="24.75">
      <c r="B78" s="151" t="s">
        <v>79</v>
      </c>
      <c r="C78" s="152">
        <v>5</v>
      </c>
      <c r="D78" s="86">
        <f>$I$68</f>
        <v>14258400</v>
      </c>
      <c r="E78" s="86">
        <v>2000</v>
      </c>
      <c r="F78" s="153">
        <v>0.08</v>
      </c>
      <c r="G78" s="86">
        <f>(D78+E78)*F78</f>
        <v>1140832</v>
      </c>
      <c r="H78" s="155">
        <v>1</v>
      </c>
      <c r="I78" s="154">
        <v>30</v>
      </c>
      <c r="J78" s="86">
        <f>(((((D78+G78)*H78)/30)*I78)/24)*24</f>
        <v>15399232</v>
      </c>
      <c r="K78" s="86">
        <f t="shared" si="7"/>
        <v>76996160</v>
      </c>
      <c r="L78" s="87">
        <f t="shared" si="8"/>
        <v>228421941.33333331</v>
      </c>
    </row>
    <row r="79" spans="2:14" s="142" customFormat="1" ht="24.95" customHeight="1">
      <c r="B79" s="151" t="s">
        <v>80</v>
      </c>
      <c r="C79" s="152">
        <v>1</v>
      </c>
      <c r="D79" s="86">
        <f>$I$68</f>
        <v>14258400</v>
      </c>
      <c r="E79" s="86">
        <v>2000</v>
      </c>
      <c r="F79" s="153">
        <v>0.11</v>
      </c>
      <c r="G79" s="86">
        <f>(D79+E79)*F79</f>
        <v>1568644</v>
      </c>
      <c r="H79" s="155">
        <v>1</v>
      </c>
      <c r="I79" s="154">
        <v>30</v>
      </c>
      <c r="J79" s="86">
        <f>(((((D79+G79)*H79)/30)*I79)/24)*24</f>
        <v>15827044</v>
      </c>
      <c r="K79" s="86">
        <f t="shared" si="7"/>
        <v>15827044</v>
      </c>
      <c r="L79" s="87">
        <f t="shared" si="8"/>
        <v>46953563.866666667</v>
      </c>
    </row>
    <row r="80" spans="2:14" s="142" customFormat="1" ht="27" customHeight="1">
      <c r="B80" s="321" t="s">
        <v>81</v>
      </c>
      <c r="C80" s="244">
        <v>2</v>
      </c>
      <c r="D80" s="323">
        <f>$I$68</f>
        <v>14258400</v>
      </c>
      <c r="E80" s="323">
        <v>2000</v>
      </c>
      <c r="F80" s="325">
        <v>0.11</v>
      </c>
      <c r="G80" s="323">
        <f>(D80+E80)*F80</f>
        <v>1568644</v>
      </c>
      <c r="H80" s="84">
        <v>0.55969999999999998</v>
      </c>
      <c r="I80" s="250">
        <v>20</v>
      </c>
      <c r="J80" s="86">
        <f>(((((D80+G80)*H80)/30)*I80)/15)*15</f>
        <v>5905597.6845333334</v>
      </c>
      <c r="K80" s="86">
        <f>C80*J80</f>
        <v>11811195.369066667</v>
      </c>
      <c r="L80" s="218">
        <f>(K80+K81)/30*$M$67</f>
        <v>38102643.175711609</v>
      </c>
    </row>
    <row r="81" spans="2:12" s="142" customFormat="1" ht="27" customHeight="1">
      <c r="B81" s="322"/>
      <c r="C81" s="245"/>
      <c r="D81" s="324"/>
      <c r="E81" s="324"/>
      <c r="F81" s="326"/>
      <c r="G81" s="324"/>
      <c r="H81" s="84">
        <v>0.44030000000000002</v>
      </c>
      <c r="I81" s="251"/>
      <c r="J81" s="86">
        <f>(((((D80+G80)*H81)/30)*I80)/9)*1</f>
        <v>516196.10912592593</v>
      </c>
      <c r="K81" s="86">
        <f>C80*J81</f>
        <v>1032392.2182518519</v>
      </c>
      <c r="L81" s="216"/>
    </row>
    <row r="82" spans="2:12" s="142" customFormat="1" ht="26.25" customHeight="1" thickBot="1">
      <c r="B82" s="147" t="s">
        <v>82</v>
      </c>
      <c r="C82" s="83">
        <v>1</v>
      </c>
      <c r="D82" s="148">
        <f>$I$68</f>
        <v>14258400</v>
      </c>
      <c r="E82" s="148">
        <v>2000</v>
      </c>
      <c r="F82" s="149">
        <v>0.11</v>
      </c>
      <c r="G82" s="148">
        <f>(D82+E82)*F82</f>
        <v>1568644</v>
      </c>
      <c r="H82" s="156">
        <v>0.55969999999999998</v>
      </c>
      <c r="I82" s="85">
        <v>4</v>
      </c>
      <c r="J82" s="148">
        <f>(((((D82+G82)*H82)/30)*I82)/15)*12</f>
        <v>944895.62952533318</v>
      </c>
      <c r="K82" s="148">
        <f t="shared" ref="K82" si="9">C82*J82</f>
        <v>944895.62952533318</v>
      </c>
      <c r="L82" s="87">
        <f t="shared" si="8"/>
        <v>2803190.3675918216</v>
      </c>
    </row>
    <row r="83" spans="2:12" ht="21.75" customHeight="1">
      <c r="B83" s="227" t="s">
        <v>83</v>
      </c>
      <c r="C83" s="228"/>
      <c r="D83" s="228"/>
      <c r="E83" s="228"/>
      <c r="F83" s="228"/>
      <c r="G83" s="228"/>
      <c r="H83" s="228"/>
      <c r="I83" s="229"/>
      <c r="J83" s="230" t="s">
        <v>84</v>
      </c>
      <c r="K83" s="231"/>
      <c r="L83" s="232"/>
    </row>
    <row r="84" spans="2:12" ht="24" customHeight="1">
      <c r="B84" s="226" t="s">
        <v>34</v>
      </c>
      <c r="C84" s="221">
        <v>5</v>
      </c>
      <c r="D84" s="222">
        <f>$I$68</f>
        <v>14258400</v>
      </c>
      <c r="E84" s="224">
        <v>2000</v>
      </c>
      <c r="F84" s="223">
        <v>0.08</v>
      </c>
      <c r="G84" s="222">
        <f>(D84+E84)*F84</f>
        <v>1140832</v>
      </c>
      <c r="H84" s="30">
        <v>0.55969999999999998</v>
      </c>
      <c r="I84" s="219">
        <v>20</v>
      </c>
      <c r="J84" s="28">
        <f>(((((D84+G84)*H84)/30)*I84)/15)*15</f>
        <v>5745966.7669333331</v>
      </c>
      <c r="K84" s="28">
        <f>C84*J84</f>
        <v>28729833.834666666</v>
      </c>
      <c r="L84" s="217">
        <f>(K84+K85)/30*$M$68</f>
        <v>87474938.136651859</v>
      </c>
    </row>
    <row r="85" spans="2:12" ht="24" customHeight="1">
      <c r="B85" s="226"/>
      <c r="C85" s="221"/>
      <c r="D85" s="222"/>
      <c r="E85" s="225"/>
      <c r="F85" s="223"/>
      <c r="G85" s="222"/>
      <c r="H85" s="30">
        <v>0.44030000000000002</v>
      </c>
      <c r="I85" s="219"/>
      <c r="J85" s="28">
        <f>(((((D84+G84)*H85)/30)*I84)/9)*1</f>
        <v>502243.09997037041</v>
      </c>
      <c r="K85" s="28">
        <f>C84*J85</f>
        <v>2511215.4998518522</v>
      </c>
      <c r="L85" s="194"/>
    </row>
    <row r="86" spans="2:12" ht="20.25" customHeight="1" thickBot="1">
      <c r="B86" s="43" t="s">
        <v>26</v>
      </c>
      <c r="C86" s="44">
        <v>5</v>
      </c>
      <c r="D86" s="45">
        <f>$I$68</f>
        <v>14258400</v>
      </c>
      <c r="E86" s="45">
        <v>2000</v>
      </c>
      <c r="F86" s="46">
        <v>0.08</v>
      </c>
      <c r="G86" s="45">
        <f>(D86+E86)*F86</f>
        <v>1140832</v>
      </c>
      <c r="H86" s="47">
        <v>0.55969999999999998</v>
      </c>
      <c r="I86" s="48">
        <v>4</v>
      </c>
      <c r="J86" s="45">
        <f>(((((D86+G86)*H86)/30)*I86)/15)*12</f>
        <v>919354.68270933337</v>
      </c>
      <c r="K86" s="45">
        <f t="shared" ref="K86" si="10">C86*J86</f>
        <v>4596773.4135466665</v>
      </c>
      <c r="L86" s="32">
        <f>(K86/30)*$M$68</f>
        <v>12870965.557930667</v>
      </c>
    </row>
    <row r="87" spans="2:12" ht="21" customHeight="1" thickBot="1"/>
    <row r="88" spans="2:12" ht="15" customHeight="1">
      <c r="B88" s="327" t="s">
        <v>35</v>
      </c>
      <c r="C88" s="328"/>
      <c r="D88" s="328"/>
      <c r="E88" s="328"/>
      <c r="F88" s="328"/>
      <c r="G88" s="328"/>
      <c r="H88" s="328"/>
      <c r="I88" s="328"/>
      <c r="J88" s="328"/>
      <c r="K88" s="328"/>
      <c r="L88" s="329"/>
    </row>
    <row r="89" spans="2:12" ht="14.25" customHeight="1">
      <c r="B89" s="330" t="s">
        <v>75</v>
      </c>
      <c r="C89" s="331"/>
      <c r="D89" s="331"/>
      <c r="E89" s="331"/>
      <c r="F89" s="331"/>
      <c r="G89" s="331"/>
      <c r="H89" s="331"/>
      <c r="I89" s="332"/>
      <c r="J89" s="333" t="s">
        <v>85</v>
      </c>
      <c r="K89" s="334"/>
      <c r="L89" s="335"/>
    </row>
    <row r="90" spans="2:12" ht="26.1" customHeight="1">
      <c r="B90" s="151" t="s">
        <v>86</v>
      </c>
      <c r="C90" s="152">
        <v>2</v>
      </c>
      <c r="D90" s="86">
        <f>$I$68</f>
        <v>14258400</v>
      </c>
      <c r="E90" s="86">
        <v>2000</v>
      </c>
      <c r="F90" s="153">
        <v>0.08</v>
      </c>
      <c r="G90" s="86">
        <f>(D90+E90)*F90</f>
        <v>1140832</v>
      </c>
      <c r="H90" s="155">
        <v>1</v>
      </c>
      <c r="I90" s="154">
        <v>30</v>
      </c>
      <c r="J90" s="86">
        <f>(((((D90+G90)*H90)/30)*I90)/24)*24</f>
        <v>15399232</v>
      </c>
      <c r="K90" s="86">
        <f>C90*J90</f>
        <v>30798464</v>
      </c>
      <c r="L90" s="87">
        <f>(K90/30)*$M$67</f>
        <v>91368776.533333331</v>
      </c>
    </row>
    <row r="91" spans="2:12" ht="18.95" customHeight="1">
      <c r="B91" s="336" t="s">
        <v>87</v>
      </c>
      <c r="C91" s="337">
        <v>1</v>
      </c>
      <c r="D91" s="338">
        <f>$I$68</f>
        <v>14258400</v>
      </c>
      <c r="E91" s="323">
        <v>2000</v>
      </c>
      <c r="F91" s="339">
        <v>0.11</v>
      </c>
      <c r="G91" s="338">
        <f>(D91+E91)*F91</f>
        <v>1568644</v>
      </c>
      <c r="H91" s="84">
        <v>0.55969999999999998</v>
      </c>
      <c r="I91" s="340">
        <v>24</v>
      </c>
      <c r="J91" s="86">
        <f>(((((D91+G91)*H91)/30)*I91)/15)*15</f>
        <v>7086717.2214399995</v>
      </c>
      <c r="K91" s="86">
        <f>C91*J91</f>
        <v>7086717.2214399995</v>
      </c>
      <c r="L91" s="218">
        <f>(K91+K92)/30*$M$67</f>
        <v>22861585.905426964</v>
      </c>
    </row>
    <row r="92" spans="2:12" ht="21" customHeight="1">
      <c r="B92" s="336"/>
      <c r="C92" s="337"/>
      <c r="D92" s="338"/>
      <c r="E92" s="324"/>
      <c r="F92" s="339"/>
      <c r="G92" s="338"/>
      <c r="H92" s="84">
        <v>0.44030000000000002</v>
      </c>
      <c r="I92" s="340"/>
      <c r="J92" s="86">
        <f>(((((D91+G91)*H92)/30)*I91)/9)*1</f>
        <v>619435.33095111116</v>
      </c>
      <c r="K92" s="86">
        <f>C91*J92</f>
        <v>619435.33095111116</v>
      </c>
      <c r="L92" s="216"/>
    </row>
    <row r="93" spans="2:12" ht="31.5" customHeight="1" thickBot="1">
      <c r="B93" s="43" t="s">
        <v>38</v>
      </c>
      <c r="C93" s="82">
        <v>1</v>
      </c>
      <c r="D93" s="57">
        <f>$I$68</f>
        <v>14258400</v>
      </c>
      <c r="E93" s="57">
        <v>2000</v>
      </c>
      <c r="F93" s="58">
        <v>0.08</v>
      </c>
      <c r="G93" s="57">
        <f>(D93+E93)*F93</f>
        <v>1140832</v>
      </c>
      <c r="H93" s="59">
        <v>0.55969999999999998</v>
      </c>
      <c r="I93" s="60">
        <v>20</v>
      </c>
      <c r="J93" s="57">
        <f>(((((D93+G93)*H93)/30)*I93)/15)*12</f>
        <v>4596773.4135466665</v>
      </c>
      <c r="K93" s="57">
        <f>C93*J93</f>
        <v>4596773.4135466665</v>
      </c>
      <c r="L93" s="87">
        <f>(K93/30)*$M$67</f>
        <v>13637094.460188445</v>
      </c>
    </row>
    <row r="94" spans="2:12" ht="10.5" customHeight="1" thickBot="1">
      <c r="B94" s="61"/>
      <c r="C94" s="51"/>
      <c r="D94" s="52"/>
      <c r="E94" s="52"/>
      <c r="F94" s="53"/>
      <c r="G94" s="52"/>
      <c r="H94" s="65"/>
      <c r="I94" s="66"/>
      <c r="J94" s="63"/>
      <c r="K94" s="63"/>
      <c r="L94" s="15"/>
    </row>
    <row r="95" spans="2:12" ht="16.5" customHeight="1">
      <c r="B95" s="341" t="s">
        <v>39</v>
      </c>
      <c r="C95" s="342"/>
      <c r="D95" s="342"/>
      <c r="E95" s="342"/>
      <c r="F95" s="342"/>
      <c r="G95" s="342"/>
      <c r="H95" s="342"/>
      <c r="I95" s="342"/>
      <c r="J95" s="342"/>
      <c r="K95" s="342"/>
      <c r="L95" s="343"/>
    </row>
    <row r="96" spans="2:12" ht="14.25" customHeight="1" thickBot="1">
      <c r="B96" s="344" t="s">
        <v>75</v>
      </c>
      <c r="C96" s="345"/>
      <c r="D96" s="345"/>
      <c r="E96" s="345"/>
      <c r="F96" s="345"/>
      <c r="G96" s="345"/>
      <c r="H96" s="345"/>
      <c r="I96" s="346"/>
      <c r="J96" s="257" t="s">
        <v>76</v>
      </c>
      <c r="K96" s="258"/>
      <c r="L96" s="347"/>
    </row>
    <row r="97" spans="1:15" ht="36" customHeight="1">
      <c r="B97" s="157" t="s">
        <v>88</v>
      </c>
      <c r="C97" s="158">
        <v>1</v>
      </c>
      <c r="D97" s="159">
        <f>$I$68</f>
        <v>14258400</v>
      </c>
      <c r="E97" s="159">
        <v>2000</v>
      </c>
      <c r="F97" s="160">
        <v>0.1</v>
      </c>
      <c r="G97" s="159">
        <f>(D97+E97)*F97</f>
        <v>1426040</v>
      </c>
      <c r="H97" s="104">
        <v>1</v>
      </c>
      <c r="I97" s="105">
        <v>30</v>
      </c>
      <c r="J97" s="102">
        <f>(((((D97+G97)*H97)/30)*I97)/24)*24</f>
        <v>15684440</v>
      </c>
      <c r="K97" s="102">
        <f>C97*J97</f>
        <v>15684440</v>
      </c>
      <c r="L97" s="32">
        <f>(K97/30)*$M$67</f>
        <v>46530505.333333336</v>
      </c>
    </row>
    <row r="98" spans="1:15" ht="33" customHeight="1">
      <c r="B98" s="161" t="s">
        <v>36</v>
      </c>
      <c r="C98" s="162">
        <v>1</v>
      </c>
      <c r="D98" s="163">
        <f>$I$68</f>
        <v>14258400</v>
      </c>
      <c r="E98" s="163">
        <v>2000</v>
      </c>
      <c r="F98" s="164">
        <v>0.08</v>
      </c>
      <c r="G98" s="163">
        <f>(D98+E98)*F98</f>
        <v>1140832</v>
      </c>
      <c r="H98" s="34">
        <v>1</v>
      </c>
      <c r="I98" s="31">
        <v>30</v>
      </c>
      <c r="J98" s="28">
        <f>(((((D98+G98)*H98)/30)*I98)/24)*24</f>
        <v>15399232</v>
      </c>
      <c r="K98" s="28">
        <f>C98*J98</f>
        <v>15399232</v>
      </c>
      <c r="L98" s="32">
        <f t="shared" ref="L98:L101" si="11">(K98/30)*$M$67</f>
        <v>45684388.266666666</v>
      </c>
    </row>
    <row r="99" spans="1:15" ht="27.75" customHeight="1">
      <c r="B99" s="226" t="s">
        <v>42</v>
      </c>
      <c r="C99" s="348">
        <v>1</v>
      </c>
      <c r="D99" s="349">
        <f>$I$68</f>
        <v>14258400</v>
      </c>
      <c r="E99" s="350">
        <v>2000</v>
      </c>
      <c r="F99" s="352">
        <v>0.08</v>
      </c>
      <c r="G99" s="349">
        <f>(D99+E99)*F99</f>
        <v>1140832</v>
      </c>
      <c r="H99" s="165">
        <v>0.55969999999999998</v>
      </c>
      <c r="I99" s="353">
        <v>20</v>
      </c>
      <c r="J99" s="163">
        <f>(((((D99+G99)*H99)/30)*I99)/15)*15</f>
        <v>5745966.7669333331</v>
      </c>
      <c r="K99" s="163">
        <f>C99*J99</f>
        <v>5745966.7669333331</v>
      </c>
      <c r="L99" s="217">
        <f>(+K99+K100)/30*$M$67</f>
        <v>18536355.938480988</v>
      </c>
    </row>
    <row r="100" spans="1:15" ht="27.75" customHeight="1">
      <c r="B100" s="226"/>
      <c r="C100" s="348"/>
      <c r="D100" s="349"/>
      <c r="E100" s="351"/>
      <c r="F100" s="352"/>
      <c r="G100" s="349"/>
      <c r="H100" s="165">
        <v>0.44030000000000002</v>
      </c>
      <c r="I100" s="353"/>
      <c r="J100" s="163">
        <f>(((((D99+G99)*H100)/30)*I99)/9)*1</f>
        <v>502243.09997037041</v>
      </c>
      <c r="K100" s="163">
        <f>C99*J100</f>
        <v>502243.09997037041</v>
      </c>
      <c r="L100" s="194"/>
    </row>
    <row r="101" spans="1:15" ht="28.5" customHeight="1" thickBot="1">
      <c r="B101" s="81" t="s">
        <v>43</v>
      </c>
      <c r="C101" s="82">
        <v>1</v>
      </c>
      <c r="D101" s="57">
        <f>$I$68</f>
        <v>14258400</v>
      </c>
      <c r="E101" s="57">
        <v>2000</v>
      </c>
      <c r="F101" s="58">
        <v>0.08</v>
      </c>
      <c r="G101" s="57">
        <f>(D101+E101)*F101</f>
        <v>1140832</v>
      </c>
      <c r="H101" s="59">
        <v>0.55969999999999998</v>
      </c>
      <c r="I101" s="60">
        <v>4</v>
      </c>
      <c r="J101" s="57">
        <f>(((((D101+G101)*H101)/30)*I101)/15)*12</f>
        <v>919354.68270933337</v>
      </c>
      <c r="K101" s="57">
        <f t="shared" ref="K101" si="12">C101*J101</f>
        <v>919354.68270933337</v>
      </c>
      <c r="L101" s="32">
        <f t="shared" si="11"/>
        <v>2727418.8920376892</v>
      </c>
    </row>
    <row r="102" spans="1:15" ht="27" customHeight="1">
      <c r="B102" s="242" t="s">
        <v>44</v>
      </c>
      <c r="C102" s="366">
        <v>1</v>
      </c>
      <c r="D102" s="246">
        <f>$I$68</f>
        <v>14258400</v>
      </c>
      <c r="E102" s="246">
        <v>2000</v>
      </c>
      <c r="F102" s="248">
        <v>0.11</v>
      </c>
      <c r="G102" s="246">
        <f>(D102+E102)*F102</f>
        <v>1568644</v>
      </c>
      <c r="H102" s="84">
        <v>0.55969999999999998</v>
      </c>
      <c r="I102" s="250">
        <v>20</v>
      </c>
      <c r="J102" s="86">
        <f>(((((D102+G102)*H102)/30)*I102)/15)*15</f>
        <v>5905597.6845333334</v>
      </c>
      <c r="K102" s="86">
        <f>C102*J102</f>
        <v>5905597.6845333334</v>
      </c>
      <c r="L102" s="218">
        <f>(+K102+K103)/30*$M$67</f>
        <v>19051321.587855805</v>
      </c>
    </row>
    <row r="103" spans="1:15" ht="27" customHeight="1">
      <c r="B103" s="243"/>
      <c r="C103" s="367"/>
      <c r="D103" s="247"/>
      <c r="E103" s="247"/>
      <c r="F103" s="249"/>
      <c r="G103" s="247"/>
      <c r="H103" s="84">
        <v>0.44030000000000002</v>
      </c>
      <c r="I103" s="251"/>
      <c r="J103" s="86">
        <f>(((((D102+G102)*H103)/30)*I102)/9)*1</f>
        <v>516196.10912592593</v>
      </c>
      <c r="K103" s="86">
        <f>C102*J103</f>
        <v>516196.10912592593</v>
      </c>
      <c r="L103" s="216"/>
    </row>
    <row r="104" spans="1:15" ht="25.5" customHeight="1" thickBot="1">
      <c r="B104" s="88" t="s">
        <v>45</v>
      </c>
      <c r="C104" s="166">
        <v>1</v>
      </c>
      <c r="D104" s="90">
        <f>$I$68</f>
        <v>14258400</v>
      </c>
      <c r="E104" s="90">
        <v>2000</v>
      </c>
      <c r="F104" s="91">
        <v>0.11</v>
      </c>
      <c r="G104" s="90">
        <f>(D104+E104)*F104</f>
        <v>1568644</v>
      </c>
      <c r="H104" s="92">
        <v>0.55969999999999998</v>
      </c>
      <c r="I104" s="93">
        <v>4</v>
      </c>
      <c r="J104" s="94">
        <f>(((((D104+G104)*H104)/30)*I104)/15)*12</f>
        <v>944895.62952533318</v>
      </c>
      <c r="K104" s="94">
        <f>C104*J104</f>
        <v>944895.62952533318</v>
      </c>
      <c r="L104" s="167">
        <f>(K104/30)*$M$67</f>
        <v>2803190.3675918216</v>
      </c>
    </row>
    <row r="105" spans="1:15" s="142" customFormat="1" ht="11.1" customHeight="1">
      <c r="B105" s="95"/>
      <c r="C105" s="62"/>
      <c r="D105" s="63"/>
      <c r="E105" s="63"/>
      <c r="F105" s="64"/>
      <c r="G105" s="63"/>
      <c r="H105" s="65"/>
      <c r="I105" s="66"/>
      <c r="J105" s="63"/>
      <c r="K105" s="63"/>
      <c r="L105" s="15"/>
    </row>
    <row r="106" spans="1:15">
      <c r="A106" s="168"/>
      <c r="B106" s="354" t="s">
        <v>46</v>
      </c>
      <c r="C106" s="355"/>
      <c r="D106" s="355"/>
      <c r="E106" s="355"/>
      <c r="F106" s="355"/>
      <c r="G106" s="355"/>
      <c r="H106" s="356"/>
      <c r="I106" s="356"/>
      <c r="J106" s="356"/>
      <c r="K106" s="356"/>
      <c r="L106" s="357"/>
    </row>
    <row r="107" spans="1:15" ht="15.75" customHeight="1">
      <c r="A107" s="168"/>
      <c r="B107" s="358" t="s">
        <v>75</v>
      </c>
      <c r="C107" s="359"/>
      <c r="D107" s="359"/>
      <c r="E107" s="359"/>
      <c r="F107" s="359"/>
      <c r="G107" s="359"/>
      <c r="H107" s="359"/>
      <c r="I107" s="359"/>
      <c r="J107" s="360" t="s">
        <v>84</v>
      </c>
      <c r="K107" s="360"/>
      <c r="L107" s="361"/>
    </row>
    <row r="108" spans="1:15" ht="56.25">
      <c r="A108" s="168"/>
      <c r="B108" s="107" t="s">
        <v>89</v>
      </c>
      <c r="C108" s="27">
        <v>2</v>
      </c>
      <c r="D108" s="28">
        <f>$I$68</f>
        <v>14258400</v>
      </c>
      <c r="E108" s="28">
        <v>2000</v>
      </c>
      <c r="F108" s="29">
        <v>0.08</v>
      </c>
      <c r="G108" s="28">
        <f>(D108+E108)*F108</f>
        <v>1140832</v>
      </c>
      <c r="H108" s="34">
        <v>1</v>
      </c>
      <c r="I108" s="31">
        <v>30</v>
      </c>
      <c r="J108" s="28">
        <f>(((((D108+G108)*H108)/30)*I108)/24)*24</f>
        <v>15399232</v>
      </c>
      <c r="K108" s="28">
        <f>C108*J108</f>
        <v>30798464</v>
      </c>
      <c r="L108" s="32">
        <f>(K108/30)*$M$67</f>
        <v>91368776.533333331</v>
      </c>
      <c r="M108" s="169"/>
    </row>
    <row r="109" spans="1:15" ht="33.75">
      <c r="A109" s="168"/>
      <c r="B109" s="107" t="s">
        <v>48</v>
      </c>
      <c r="C109" s="27">
        <v>1</v>
      </c>
      <c r="D109" s="28">
        <f t="shared" ref="D109:D118" si="13">$I$68</f>
        <v>14258400</v>
      </c>
      <c r="E109" s="28">
        <v>2000</v>
      </c>
      <c r="F109" s="29">
        <v>0.11</v>
      </c>
      <c r="G109" s="28">
        <f>(D109+E109)*F109</f>
        <v>1568644</v>
      </c>
      <c r="H109" s="34">
        <v>1</v>
      </c>
      <c r="I109" s="31">
        <v>30</v>
      </c>
      <c r="J109" s="28">
        <f>(((((D109+G109)*H109)/30)*I109)/24)*24</f>
        <v>15827044</v>
      </c>
      <c r="K109" s="28">
        <f>C109*J109</f>
        <v>15827044</v>
      </c>
      <c r="L109" s="32">
        <f>(K109/30)*$M$67</f>
        <v>46953563.866666667</v>
      </c>
      <c r="M109" s="170"/>
      <c r="N109" s="170"/>
      <c r="O109" s="170"/>
    </row>
    <row r="110" spans="1:15" ht="33.75">
      <c r="A110" s="168"/>
      <c r="B110" s="107" t="s">
        <v>49</v>
      </c>
      <c r="C110" s="27">
        <v>5</v>
      </c>
      <c r="D110" s="28">
        <f t="shared" si="13"/>
        <v>14258400</v>
      </c>
      <c r="E110" s="28">
        <v>2000</v>
      </c>
      <c r="F110" s="29">
        <v>0.1</v>
      </c>
      <c r="G110" s="28">
        <f>(D110+E110)*F110</f>
        <v>1426040</v>
      </c>
      <c r="H110" s="34">
        <v>1</v>
      </c>
      <c r="I110" s="31">
        <v>30</v>
      </c>
      <c r="J110" s="28">
        <f>(((((D110+G110)*H110)/30)*I110)/24)*24</f>
        <v>15684440</v>
      </c>
      <c r="K110" s="28">
        <f>C110*J110</f>
        <v>78422200</v>
      </c>
      <c r="L110" s="32">
        <f>(K110/30)*$M$67</f>
        <v>232652526.66666669</v>
      </c>
      <c r="N110" s="170"/>
      <c r="O110" s="170"/>
    </row>
    <row r="111" spans="1:15" ht="33.75">
      <c r="A111" s="168"/>
      <c r="B111" s="107" t="s">
        <v>50</v>
      </c>
      <c r="C111" s="27">
        <v>5</v>
      </c>
      <c r="D111" s="28">
        <f t="shared" si="13"/>
        <v>14258400</v>
      </c>
      <c r="E111" s="28">
        <v>2000</v>
      </c>
      <c r="F111" s="29">
        <v>0.08</v>
      </c>
      <c r="G111" s="28">
        <f>(D111+E111)*F111</f>
        <v>1140832</v>
      </c>
      <c r="H111" s="34">
        <v>1</v>
      </c>
      <c r="I111" s="31">
        <v>30</v>
      </c>
      <c r="J111" s="28">
        <f>(((((D111+G111)*H111)/30)*I111)/24)*24</f>
        <v>15399232</v>
      </c>
      <c r="K111" s="28">
        <f>C111*J111</f>
        <v>76996160</v>
      </c>
      <c r="L111" s="32">
        <f>(K111/30)*$M$67</f>
        <v>228421941.33333331</v>
      </c>
      <c r="N111" s="170"/>
      <c r="O111" s="170"/>
    </row>
    <row r="112" spans="1:15" ht="33.75">
      <c r="A112" s="168"/>
      <c r="B112" s="107" t="s">
        <v>90</v>
      </c>
      <c r="C112" s="27">
        <v>2</v>
      </c>
      <c r="D112" s="28">
        <f t="shared" si="13"/>
        <v>14258400</v>
      </c>
      <c r="E112" s="28">
        <v>2000</v>
      </c>
      <c r="F112" s="29">
        <v>0.08</v>
      </c>
      <c r="G112" s="28">
        <f>(D112+E112)*F112</f>
        <v>1140832</v>
      </c>
      <c r="H112" s="30">
        <v>0.55969999999999998</v>
      </c>
      <c r="I112" s="31">
        <v>24</v>
      </c>
      <c r="J112" s="28">
        <f>(((((D112+G112)*H112)/30)*I112)/15)*12</f>
        <v>5516128.0962559991</v>
      </c>
      <c r="K112" s="28">
        <f t="shared" ref="K112" si="14">C112*J112</f>
        <v>11032256.192511998</v>
      </c>
      <c r="L112" s="32">
        <f>(K112/30)*$M$67</f>
        <v>32729026.704452261</v>
      </c>
      <c r="M112" s="169"/>
      <c r="N112" s="170"/>
      <c r="O112" s="170"/>
    </row>
    <row r="113" spans="1:15" ht="21.75" customHeight="1" thickBot="1">
      <c r="A113" s="168"/>
      <c r="B113" s="362" t="s">
        <v>83</v>
      </c>
      <c r="C113" s="363"/>
      <c r="D113" s="363"/>
      <c r="E113" s="363"/>
      <c r="F113" s="363"/>
      <c r="G113" s="363"/>
      <c r="H113" s="363"/>
      <c r="I113" s="363"/>
      <c r="J113" s="364" t="s">
        <v>84</v>
      </c>
      <c r="K113" s="364"/>
      <c r="L113" s="365"/>
    </row>
    <row r="114" spans="1:15" ht="24" customHeight="1">
      <c r="A114" s="168"/>
      <c r="B114" s="379" t="s">
        <v>91</v>
      </c>
      <c r="C114" s="381">
        <v>4</v>
      </c>
      <c r="D114" s="382">
        <f t="shared" si="13"/>
        <v>14258400</v>
      </c>
      <c r="E114" s="382">
        <v>2000</v>
      </c>
      <c r="F114" s="383">
        <v>0.08</v>
      </c>
      <c r="G114" s="382">
        <f>(D114+E114)*F114</f>
        <v>1140832</v>
      </c>
      <c r="H114" s="171">
        <v>0.55969999999999998</v>
      </c>
      <c r="I114" s="374">
        <v>20</v>
      </c>
      <c r="J114" s="102">
        <f>(((((D114+G114)*H114)/30)*I114)/15)*15</f>
        <v>5745966.7669333331</v>
      </c>
      <c r="K114" s="102">
        <f>C114*J114</f>
        <v>22983867.067733333</v>
      </c>
      <c r="L114" s="193">
        <f>(K114+K115)/30*$M$68</f>
        <v>69979950.509321481</v>
      </c>
      <c r="M114" s="169"/>
    </row>
    <row r="115" spans="1:15" ht="24" customHeight="1">
      <c r="A115" s="168"/>
      <c r="B115" s="380"/>
      <c r="C115" s="221"/>
      <c r="D115" s="225">
        <f t="shared" si="13"/>
        <v>14258400</v>
      </c>
      <c r="E115" s="225"/>
      <c r="F115" s="384"/>
      <c r="G115" s="225"/>
      <c r="H115" s="30">
        <v>0.44030000000000002</v>
      </c>
      <c r="I115" s="375"/>
      <c r="J115" s="28">
        <f>(((((D114+G114)*H115)/30)*I114)/9)*1</f>
        <v>502243.09997037041</v>
      </c>
      <c r="K115" s="28">
        <f>C114*J115</f>
        <v>2008972.3998814817</v>
      </c>
      <c r="L115" s="194"/>
      <c r="N115" s="170"/>
      <c r="O115" s="170"/>
    </row>
    <row r="116" spans="1:15" ht="24" customHeight="1">
      <c r="A116" s="168"/>
      <c r="B116" s="107" t="s">
        <v>92</v>
      </c>
      <c r="C116" s="27">
        <v>4</v>
      </c>
      <c r="D116" s="28">
        <f t="shared" si="13"/>
        <v>14258400</v>
      </c>
      <c r="E116" s="28">
        <v>2000</v>
      </c>
      <c r="F116" s="29">
        <v>0.08</v>
      </c>
      <c r="G116" s="28">
        <f>(D116+E116)*F116</f>
        <v>1140832</v>
      </c>
      <c r="H116" s="30">
        <v>0.55969999999999998</v>
      </c>
      <c r="I116" s="31">
        <v>4</v>
      </c>
      <c r="J116" s="28">
        <f>(((((D116+G116)*H116)/30)*I116)/15)*12</f>
        <v>919354.68270933337</v>
      </c>
      <c r="K116" s="28">
        <f t="shared" ref="K116:K117" si="15">C116*J116</f>
        <v>3677418.7308373335</v>
      </c>
      <c r="L116" s="32">
        <f>(K116/30)*$M$68</f>
        <v>10296772.446344534</v>
      </c>
      <c r="N116" s="170"/>
      <c r="O116" s="170"/>
    </row>
    <row r="117" spans="1:15" ht="30.75" customHeight="1">
      <c r="A117" s="168"/>
      <c r="B117" s="107" t="s">
        <v>93</v>
      </c>
      <c r="C117" s="27">
        <v>6</v>
      </c>
      <c r="D117" s="28">
        <f t="shared" si="13"/>
        <v>14258400</v>
      </c>
      <c r="E117" s="28">
        <v>2000</v>
      </c>
      <c r="F117" s="29">
        <v>0.08</v>
      </c>
      <c r="G117" s="28">
        <f>(D117+E117)*F117</f>
        <v>1140832</v>
      </c>
      <c r="H117" s="30">
        <v>0.55969999999999998</v>
      </c>
      <c r="I117" s="31">
        <v>20</v>
      </c>
      <c r="J117" s="28">
        <f>(((((D117+G117)*H117)/30)*I117)/15)*12</f>
        <v>4596773.4135466665</v>
      </c>
      <c r="K117" s="28">
        <f t="shared" si="15"/>
        <v>27580640.481279999</v>
      </c>
      <c r="L117" s="32">
        <f>(K117/30)*$M$68</f>
        <v>77225793.347583994</v>
      </c>
      <c r="N117" s="170"/>
      <c r="O117" s="170"/>
    </row>
    <row r="118" spans="1:15" ht="37.5" customHeight="1" thickBot="1">
      <c r="A118" s="168"/>
      <c r="B118" s="172" t="s">
        <v>94</v>
      </c>
      <c r="C118" s="44">
        <v>2</v>
      </c>
      <c r="D118" s="45">
        <f t="shared" si="13"/>
        <v>14258400</v>
      </c>
      <c r="E118" s="45"/>
      <c r="F118" s="46">
        <v>0.11</v>
      </c>
      <c r="G118" s="45">
        <f>(D118+E118)*F118</f>
        <v>1568424</v>
      </c>
      <c r="H118" s="47">
        <v>0.55969999999999998</v>
      </c>
      <c r="I118" s="48">
        <v>20</v>
      </c>
      <c r="J118" s="45">
        <f>(((((D118+G118)*H118)/30)*I118)/15)*12</f>
        <v>4724412.476160001</v>
      </c>
      <c r="K118" s="45">
        <f>C118*J118</f>
        <v>9448824.952320002</v>
      </c>
      <c r="L118" s="49">
        <f>(K118/30)*$M$68</f>
        <v>26456709.866496008</v>
      </c>
      <c r="N118" s="170"/>
      <c r="O118" s="170"/>
    </row>
    <row r="119" spans="1:15">
      <c r="B119" s="376" t="s">
        <v>95</v>
      </c>
      <c r="C119" s="377"/>
      <c r="D119" s="377"/>
      <c r="E119" s="377"/>
      <c r="F119" s="377"/>
      <c r="G119" s="377"/>
      <c r="H119" s="377"/>
      <c r="I119" s="377"/>
      <c r="J119" s="377"/>
      <c r="K119" s="378"/>
      <c r="L119" s="173">
        <f>SUM(L75:L82)+SUM(L84:L86)+SUM(L90:L93)+SUM(L97:L104)+SUM(L108:L112)+SUM(L114:L118)</f>
        <v>1580968040.3190742</v>
      </c>
    </row>
    <row r="120" spans="1:15" ht="15" customHeight="1">
      <c r="B120" s="271" t="s">
        <v>57</v>
      </c>
      <c r="C120" s="272"/>
      <c r="D120" s="272"/>
      <c r="E120" s="272"/>
      <c r="F120" s="272"/>
      <c r="G120" s="272"/>
      <c r="H120" s="272"/>
      <c r="I120" s="272"/>
      <c r="J120" s="272"/>
      <c r="K120" s="273"/>
      <c r="L120" s="113">
        <f>L119*10%</f>
        <v>158096804.03190741</v>
      </c>
    </row>
    <row r="121" spans="1:15">
      <c r="B121" s="271" t="s">
        <v>58</v>
      </c>
      <c r="C121" s="272"/>
      <c r="D121" s="272"/>
      <c r="E121" s="272"/>
      <c r="F121" s="272"/>
      <c r="G121" s="272"/>
      <c r="H121" s="272"/>
      <c r="I121" s="272"/>
      <c r="J121" s="272"/>
      <c r="K121" s="273"/>
      <c r="L121" s="113">
        <f>L120*19%</f>
        <v>30038392.766062409</v>
      </c>
    </row>
    <row r="122" spans="1:15" ht="15" customHeight="1">
      <c r="B122" s="274" t="s">
        <v>96</v>
      </c>
      <c r="C122" s="275"/>
      <c r="D122" s="275"/>
      <c r="E122" s="275"/>
      <c r="F122" s="275"/>
      <c r="G122" s="275"/>
      <c r="H122" s="275"/>
      <c r="I122" s="275"/>
      <c r="J122" s="275"/>
      <c r="K122" s="276"/>
      <c r="L122" s="114">
        <f>L119+L121</f>
        <v>1611006433.0851367</v>
      </c>
    </row>
    <row r="123" spans="1:15" ht="30.75" customHeight="1">
      <c r="B123" s="309" t="s">
        <v>60</v>
      </c>
      <c r="C123" s="312" t="s">
        <v>61</v>
      </c>
      <c r="D123" s="313"/>
      <c r="E123" s="314"/>
      <c r="F123" s="115">
        <v>6</v>
      </c>
      <c r="G123" s="115" t="s">
        <v>62</v>
      </c>
      <c r="H123" s="116">
        <v>204000</v>
      </c>
      <c r="I123" s="115" t="s">
        <v>63</v>
      </c>
      <c r="J123" s="116">
        <f>F123*H123</f>
        <v>1224000</v>
      </c>
      <c r="K123" s="115" t="s">
        <v>64</v>
      </c>
      <c r="L123" s="117">
        <f>(J123/30)*M67</f>
        <v>3631200</v>
      </c>
      <c r="O123" s="170">
        <f>L128-O125</f>
        <v>-387732045.93845749</v>
      </c>
    </row>
    <row r="124" spans="1:15" ht="30.75" customHeight="1">
      <c r="B124" s="310"/>
      <c r="C124" s="312" t="s">
        <v>65</v>
      </c>
      <c r="D124" s="313"/>
      <c r="E124" s="314"/>
      <c r="F124" s="115">
        <v>60</v>
      </c>
      <c r="G124" s="115" t="s">
        <v>62</v>
      </c>
      <c r="H124" s="116">
        <v>50000</v>
      </c>
      <c r="I124" s="115" t="s">
        <v>63</v>
      </c>
      <c r="J124" s="116">
        <f>F124*H124</f>
        <v>3000000</v>
      </c>
      <c r="K124" s="115" t="s">
        <v>64</v>
      </c>
      <c r="L124" s="117">
        <f>(J124/30)*M68</f>
        <v>8400000</v>
      </c>
      <c r="N124" s="170"/>
    </row>
    <row r="125" spans="1:15" ht="34.5" customHeight="1">
      <c r="B125" s="311"/>
      <c r="C125" s="312" t="s">
        <v>66</v>
      </c>
      <c r="D125" s="313"/>
      <c r="E125" s="314"/>
      <c r="F125" s="118">
        <v>6</v>
      </c>
      <c r="G125" s="118" t="s">
        <v>62</v>
      </c>
      <c r="H125" s="119">
        <v>36000</v>
      </c>
      <c r="I125" s="118" t="s">
        <v>63</v>
      </c>
      <c r="J125" s="119">
        <f>F125*H125</f>
        <v>216000</v>
      </c>
      <c r="K125" s="118" t="s">
        <v>67</v>
      </c>
      <c r="L125" s="117">
        <f>(J125/30)*M67</f>
        <v>640800</v>
      </c>
      <c r="O125" s="169">
        <v>5448613375</v>
      </c>
    </row>
    <row r="126" spans="1:15">
      <c r="B126" s="368" t="s">
        <v>97</v>
      </c>
      <c r="C126" s="369"/>
      <c r="D126" s="369"/>
      <c r="E126" s="369"/>
      <c r="F126" s="369"/>
      <c r="G126" s="369"/>
      <c r="H126" s="369"/>
      <c r="I126" s="369"/>
      <c r="J126" s="369"/>
      <c r="K126" s="369"/>
      <c r="L126" s="113">
        <f>SUM(L123:L125)</f>
        <v>12672000</v>
      </c>
    </row>
    <row r="127" spans="1:15" ht="15.75" thickBot="1">
      <c r="B127" s="370" t="s">
        <v>98</v>
      </c>
      <c r="C127" s="371"/>
      <c r="D127" s="371"/>
      <c r="E127" s="371"/>
      <c r="F127" s="371"/>
      <c r="G127" s="371"/>
      <c r="H127" s="371"/>
      <c r="I127" s="371"/>
      <c r="J127" s="371"/>
      <c r="K127" s="371"/>
      <c r="L127" s="174">
        <f>(L122+L126)</f>
        <v>1623678433.0851367</v>
      </c>
    </row>
    <row r="128" spans="1:15" ht="15.75" thickBot="1">
      <c r="B128" s="372" t="s">
        <v>99</v>
      </c>
      <c r="C128" s="373"/>
      <c r="D128" s="373"/>
      <c r="E128" s="373"/>
      <c r="F128" s="373"/>
      <c r="G128" s="373"/>
      <c r="H128" s="373"/>
      <c r="I128" s="373"/>
      <c r="J128" s="373"/>
      <c r="K128" s="373"/>
      <c r="L128" s="174">
        <f>(L63)+L127</f>
        <v>5060881329.0615425</v>
      </c>
    </row>
    <row r="129" spans="2:20" s="142" customFormat="1"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6"/>
    </row>
    <row r="130" spans="2:20" ht="15.75" thickBot="1"/>
    <row r="131" spans="2:20">
      <c r="Q131" s="177" t="s">
        <v>100</v>
      </c>
      <c r="R131" s="178" t="s">
        <v>101</v>
      </c>
      <c r="S131" s="178" t="s">
        <v>102</v>
      </c>
      <c r="T131" s="179" t="s">
        <v>103</v>
      </c>
    </row>
    <row r="132" spans="2:20">
      <c r="P132" t="s">
        <v>104</v>
      </c>
      <c r="Q132" s="180" t="e">
        <f>SUM(L11:L18)+SUM(L20:L22)+SUM(L75:L82)+SUM(L84:L86)+SUM(#REF!)+SUM(#REF!)</f>
        <v>#REF!</v>
      </c>
      <c r="R132" s="181" t="e">
        <f>Q132*10%</f>
        <v>#REF!</v>
      </c>
      <c r="S132" s="181" t="e">
        <f t="shared" ref="S132:S137" si="16">R132*19%</f>
        <v>#REF!</v>
      </c>
      <c r="T132" s="182" t="e">
        <f>Q132+S132</f>
        <v>#REF!</v>
      </c>
    </row>
    <row r="133" spans="2:20">
      <c r="P133" t="s">
        <v>105</v>
      </c>
      <c r="Q133" s="180" t="e">
        <f>SUM(L26:L29)+SUM(L90:L92)+L93+SUM(#REF!)+#REF!</f>
        <v>#REF!</v>
      </c>
      <c r="R133" s="181" t="e">
        <f>Q133*10%</f>
        <v>#REF!</v>
      </c>
      <c r="S133" s="181" t="e">
        <f t="shared" si="16"/>
        <v>#REF!</v>
      </c>
      <c r="T133" s="182" t="e">
        <f>Q133+S133</f>
        <v>#REF!</v>
      </c>
    </row>
    <row r="134" spans="2:20">
      <c r="P134" t="s">
        <v>106</v>
      </c>
      <c r="Q134" s="180" t="e">
        <f>SUM(L33:L40)+SUM(L97:L104)+SUM(L99:L101)+SUM(#REF!)+SUM(#REF!)</f>
        <v>#REF!</v>
      </c>
      <c r="R134" s="181" t="e">
        <f>Q134*10%</f>
        <v>#REF!</v>
      </c>
      <c r="S134" s="181" t="e">
        <f t="shared" si="16"/>
        <v>#REF!</v>
      </c>
      <c r="T134" s="182" t="e">
        <f>Q134+S134</f>
        <v>#REF!</v>
      </c>
    </row>
    <row r="135" spans="2:20">
      <c r="P135" t="s">
        <v>107</v>
      </c>
      <c r="Q135" s="183" t="e">
        <f>SUM(L44:L48)+SUM(L50:L54)+SUM(L108:L112)+SUM(L114:L118)+SUM(#REF!)+SUM(#REF!)</f>
        <v>#REF!</v>
      </c>
      <c r="R135" s="181" t="e">
        <f>Q135*10%</f>
        <v>#REF!</v>
      </c>
      <c r="S135" s="181" t="e">
        <f t="shared" si="16"/>
        <v>#REF!</v>
      </c>
      <c r="T135" s="182" t="e">
        <f>Q135+S135</f>
        <v>#REF!</v>
      </c>
    </row>
    <row r="136" spans="2:20" ht="15.75" thickBot="1">
      <c r="P136" t="s">
        <v>108</v>
      </c>
      <c r="Q136" s="184" t="e">
        <f>L62+L126+#REF!</f>
        <v>#REF!</v>
      </c>
      <c r="R136" s="185" t="e">
        <f>Q136/1.19</f>
        <v>#REF!</v>
      </c>
      <c r="S136" s="185" t="e">
        <f t="shared" si="16"/>
        <v>#REF!</v>
      </c>
      <c r="T136" s="186" t="e">
        <f>R136+S136</f>
        <v>#REF!</v>
      </c>
    </row>
    <row r="137" spans="2:20" ht="15.75" thickBot="1">
      <c r="P137" t="s">
        <v>109</v>
      </c>
      <c r="Q137" s="187" t="e">
        <f>J5+J68+#REF!</f>
        <v>#REF!</v>
      </c>
      <c r="R137" s="185" t="e">
        <f>Q137/1.19</f>
        <v>#REF!</v>
      </c>
      <c r="S137" s="185" t="e">
        <f t="shared" si="16"/>
        <v>#REF!</v>
      </c>
      <c r="T137" s="188" t="e">
        <f>R137+S137</f>
        <v>#REF!</v>
      </c>
    </row>
    <row r="138" spans="2:20" ht="15.75" thickBot="1">
      <c r="Q138" s="189"/>
      <c r="R138" s="190"/>
      <c r="S138" s="190"/>
      <c r="T138" s="191" t="e">
        <f>SUM(T132:T136)</f>
        <v>#REF!</v>
      </c>
    </row>
  </sheetData>
  <mergeCells count="172">
    <mergeCell ref="B126:K126"/>
    <mergeCell ref="B127:K127"/>
    <mergeCell ref="B128:K128"/>
    <mergeCell ref="I114:I115"/>
    <mergeCell ref="B119:K119"/>
    <mergeCell ref="B120:K120"/>
    <mergeCell ref="B121:K121"/>
    <mergeCell ref="B122:K122"/>
    <mergeCell ref="B123:B125"/>
    <mergeCell ref="C123:E123"/>
    <mergeCell ref="C124:E124"/>
    <mergeCell ref="C125:E125"/>
    <mergeCell ref="B114:B115"/>
    <mergeCell ref="C114:C115"/>
    <mergeCell ref="D114:D115"/>
    <mergeCell ref="E114:E115"/>
    <mergeCell ref="F114:F115"/>
    <mergeCell ref="G114:G115"/>
    <mergeCell ref="I102:I103"/>
    <mergeCell ref="B106:L106"/>
    <mergeCell ref="B107:I107"/>
    <mergeCell ref="J107:L107"/>
    <mergeCell ref="B113:I113"/>
    <mergeCell ref="J113:L113"/>
    <mergeCell ref="B102:B103"/>
    <mergeCell ref="C102:C103"/>
    <mergeCell ref="D102:D103"/>
    <mergeCell ref="E102:E103"/>
    <mergeCell ref="F102:F103"/>
    <mergeCell ref="G102:G103"/>
    <mergeCell ref="L102:L103"/>
    <mergeCell ref="B95:L95"/>
    <mergeCell ref="B96:I96"/>
    <mergeCell ref="J96:L96"/>
    <mergeCell ref="B99:B100"/>
    <mergeCell ref="C99:C100"/>
    <mergeCell ref="D99:D100"/>
    <mergeCell ref="E99:E100"/>
    <mergeCell ref="F99:F100"/>
    <mergeCell ref="G99:G100"/>
    <mergeCell ref="I99:I100"/>
    <mergeCell ref="B88:L88"/>
    <mergeCell ref="B89:I89"/>
    <mergeCell ref="J89:L89"/>
    <mergeCell ref="B91:B92"/>
    <mergeCell ref="C91:C92"/>
    <mergeCell ref="D91:D92"/>
    <mergeCell ref="E91:E92"/>
    <mergeCell ref="F91:F92"/>
    <mergeCell ref="G91:G92"/>
    <mergeCell ref="I91:I92"/>
    <mergeCell ref="B83:I83"/>
    <mergeCell ref="J83:L83"/>
    <mergeCell ref="B84:B85"/>
    <mergeCell ref="C84:C85"/>
    <mergeCell ref="D84:D85"/>
    <mergeCell ref="E84:E85"/>
    <mergeCell ref="F84:F85"/>
    <mergeCell ref="G84:G85"/>
    <mergeCell ref="I84:I85"/>
    <mergeCell ref="I75:I76"/>
    <mergeCell ref="B80:B81"/>
    <mergeCell ref="C80:C81"/>
    <mergeCell ref="D80:D81"/>
    <mergeCell ref="E80:E81"/>
    <mergeCell ref="F80:F81"/>
    <mergeCell ref="G80:G81"/>
    <mergeCell ref="I80:I81"/>
    <mergeCell ref="B75:B76"/>
    <mergeCell ref="C75:C76"/>
    <mergeCell ref="D75:D76"/>
    <mergeCell ref="E75:E76"/>
    <mergeCell ref="F75:F76"/>
    <mergeCell ref="G75:G76"/>
    <mergeCell ref="D65:I65"/>
    <mergeCell ref="B70:L70"/>
    <mergeCell ref="B71:L71"/>
    <mergeCell ref="B73:L73"/>
    <mergeCell ref="B74:I74"/>
    <mergeCell ref="J74:L74"/>
    <mergeCell ref="B59:B61"/>
    <mergeCell ref="C59:E59"/>
    <mergeCell ref="C60:E60"/>
    <mergeCell ref="C61:E61"/>
    <mergeCell ref="B62:K62"/>
    <mergeCell ref="B63:K63"/>
    <mergeCell ref="G53:G54"/>
    <mergeCell ref="I53:I54"/>
    <mergeCell ref="B55:K55"/>
    <mergeCell ref="B56:K56"/>
    <mergeCell ref="B57:K57"/>
    <mergeCell ref="B58:K58"/>
    <mergeCell ref="B42:L42"/>
    <mergeCell ref="B43:I43"/>
    <mergeCell ref="J43:L43"/>
    <mergeCell ref="B49:I49"/>
    <mergeCell ref="J49:L49"/>
    <mergeCell ref="B53:B54"/>
    <mergeCell ref="C53:C54"/>
    <mergeCell ref="D53:D54"/>
    <mergeCell ref="E53:E54"/>
    <mergeCell ref="F53:F54"/>
    <mergeCell ref="L35:L36"/>
    <mergeCell ref="B38:B39"/>
    <mergeCell ref="C38:C39"/>
    <mergeCell ref="D38:D39"/>
    <mergeCell ref="E38:E39"/>
    <mergeCell ref="F38:F39"/>
    <mergeCell ref="G38:G39"/>
    <mergeCell ref="I38:I39"/>
    <mergeCell ref="B31:L31"/>
    <mergeCell ref="B32:I32"/>
    <mergeCell ref="J32:L32"/>
    <mergeCell ref="B35:B36"/>
    <mergeCell ref="C35:C36"/>
    <mergeCell ref="D35:D36"/>
    <mergeCell ref="E35:E36"/>
    <mergeCell ref="F35:F36"/>
    <mergeCell ref="G35:G36"/>
    <mergeCell ref="I35:I36"/>
    <mergeCell ref="B24:L24"/>
    <mergeCell ref="B25:I25"/>
    <mergeCell ref="J25:L25"/>
    <mergeCell ref="B27:B28"/>
    <mergeCell ref="C27:C28"/>
    <mergeCell ref="D27:D28"/>
    <mergeCell ref="E27:E28"/>
    <mergeCell ref="F27:F28"/>
    <mergeCell ref="G27:G28"/>
    <mergeCell ref="I27:I28"/>
    <mergeCell ref="B19:I19"/>
    <mergeCell ref="J19:L19"/>
    <mergeCell ref="B20:B21"/>
    <mergeCell ref="C20:C21"/>
    <mergeCell ref="D20:D21"/>
    <mergeCell ref="E20:E21"/>
    <mergeCell ref="F20:F21"/>
    <mergeCell ref="G20:G21"/>
    <mergeCell ref="I20:I21"/>
    <mergeCell ref="F16:F17"/>
    <mergeCell ref="G16:G17"/>
    <mergeCell ref="I16:I17"/>
    <mergeCell ref="B11:B12"/>
    <mergeCell ref="C11:C12"/>
    <mergeCell ref="D11:D12"/>
    <mergeCell ref="E11:E12"/>
    <mergeCell ref="F11:F12"/>
    <mergeCell ref="G11:G12"/>
    <mergeCell ref="L114:L115"/>
    <mergeCell ref="D3:I3"/>
    <mergeCell ref="D4:F4"/>
    <mergeCell ref="D5:F5"/>
    <mergeCell ref="B7:L7"/>
    <mergeCell ref="B9:L9"/>
    <mergeCell ref="B10:I10"/>
    <mergeCell ref="J10:L10"/>
    <mergeCell ref="L38:L39"/>
    <mergeCell ref="L99:L100"/>
    <mergeCell ref="L16:L17"/>
    <mergeCell ref="L11:L12"/>
    <mergeCell ref="L20:L21"/>
    <mergeCell ref="L27:L28"/>
    <mergeCell ref="L53:L54"/>
    <mergeCell ref="L75:L76"/>
    <mergeCell ref="L80:L81"/>
    <mergeCell ref="L84:L85"/>
    <mergeCell ref="L91:L92"/>
    <mergeCell ref="I11:I12"/>
    <mergeCell ref="B16:B17"/>
    <mergeCell ref="C16:C17"/>
    <mergeCell ref="D16:D17"/>
    <mergeCell ref="E16:E17"/>
  </mergeCells>
  <pageMargins left="0.7" right="0.7" top="0.75" bottom="0.75" header="0.3" footer="0.3"/>
  <pageSetup scale="57" orientation="portrait" r:id="rId1"/>
  <rowBreaks count="2" manualBreakCount="2">
    <brk id="41" max="16383" man="1"/>
    <brk id="86" max="16383" man="1"/>
  </rowBreaks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SOLANO</dc:creator>
  <cp:keywords/>
  <dc:description/>
  <cp:lastModifiedBy>Julián Camilo  Rodríguez Fonseca</cp:lastModifiedBy>
  <cp:revision/>
  <dcterms:created xsi:type="dcterms:W3CDTF">2024-01-19T22:26:22Z</dcterms:created>
  <dcterms:modified xsi:type="dcterms:W3CDTF">2024-03-04T20:59:41Z</dcterms:modified>
  <cp:category/>
  <cp:contentStatus/>
</cp:coreProperties>
</file>