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MNG\2018-1\Trabajos\Ajuste de Formatos\"/>
    </mc:Choice>
  </mc:AlternateContent>
  <bookViews>
    <workbookView xWindow="0" yWindow="0" windowWidth="28800" windowHeight="13575" tabRatio="906" firstSheet="1" activeTab="1"/>
  </bookViews>
  <sheets>
    <sheet name="Opciones" sheetId="2" state="veryHidden" r:id="rId1"/>
    <sheet name="Datos_Generales" sheetId="3" r:id="rId2"/>
    <sheet name="Resumen" sheetId="8" r:id="rId3"/>
    <sheet name="Descripción" sheetId="9" r:id="rId4"/>
    <sheet name="Objetivos" sheetId="7" r:id="rId5"/>
    <sheet name="Metodología" sheetId="17" r:id="rId6"/>
    <sheet name="Estado_del_Arte" sheetId="18" r:id="rId7"/>
    <sheet name="Marco_Teorico" sheetId="24" state="hidden" r:id="rId8"/>
    <sheet name="Cronograma" sheetId="11" r:id="rId9"/>
    <sheet name="PD" sheetId="5" state="hidden" r:id="rId10"/>
    <sheet name="Integrantes" sheetId="4" r:id="rId11"/>
    <sheet name="Presupuesto" sheetId="6" r:id="rId12"/>
    <sheet name="Impactos" sheetId="19" state="hidden" r:id="rId13"/>
    <sheet name="Grupo" sheetId="22" state="hidden" r:id="rId14"/>
    <sheet name="Biblografia" sheetId="21" r:id="rId15"/>
    <sheet name="Imagenes" sheetId="12" state="hidden" r:id="rId16"/>
    <sheet name="Normas" sheetId="14" state="hidden" r:id="rId17"/>
  </sheets>
  <definedNames>
    <definedName name="_xlnm._FilterDatabase" localSheetId="10" hidden="1">Integrantes!$O$6:$T$6</definedName>
    <definedName name="_xlnm.Print_Area" localSheetId="14">Biblografia!$A$1:$J$20</definedName>
    <definedName name="_xlnm.Print_Area" localSheetId="8">Cronograma!$A$1:$I$26</definedName>
    <definedName name="_xlnm.Print_Area" localSheetId="1">Datos_Generales!$A$1:$I$48</definedName>
    <definedName name="_xlnm.Print_Area" localSheetId="3">Descripción!$A$1:$I$26</definedName>
    <definedName name="_xlnm.Print_Area" localSheetId="6">Estado_del_Arte!$A$1:$I$26</definedName>
    <definedName name="_xlnm.Print_Area" localSheetId="13">Grupo!$A$1:$J$34</definedName>
    <definedName name="_xlnm.Print_Area" localSheetId="15">Imagenes!$A$1:$K$21</definedName>
    <definedName name="_xlnm.Print_Area" localSheetId="12">Impactos!$A$1:$J$21</definedName>
    <definedName name="_xlnm.Print_Area" localSheetId="10">Integrantes!$A$1:$J$33</definedName>
    <definedName name="_xlnm.Print_Area" localSheetId="7">Marco_Teorico!$A$1:$I$26</definedName>
    <definedName name="_xlnm.Print_Area" localSheetId="5">Metodología!$A$1:$I$23</definedName>
    <definedName name="_xlnm.Print_Area" localSheetId="16">Normas!$A$1:$J$26</definedName>
    <definedName name="_xlnm.Print_Area" localSheetId="4">Objetivos!$A$1:$I$29</definedName>
    <definedName name="_xlnm.Print_Area" localSheetId="9">PD!$A$1:$K$44</definedName>
    <definedName name="_xlnm.Print_Area" localSheetId="11">Presupuesto!$A$1:$J$85</definedName>
    <definedName name="_xlnm.Print_Area" localSheetId="2">Resumen!$A$1:$I$21</definedName>
    <definedName name="Caract">Opciones!$I$12</definedName>
    <definedName name="Conv_Opc">Opciones!$K$1:$N$7</definedName>
    <definedName name="Dt_Grupos">Opciones!$AP$4:$AP$73</definedName>
    <definedName name="Dt_NBC">Opciones!$X$2:$X$81</definedName>
    <definedName name="Elec_Conv">Datos_Generales!$G$14</definedName>
    <definedName name="Facultades">Opciones!$S$2:$S$9</definedName>
    <definedName name="FunProy_PIC">Opciones!$V$16:$V$18</definedName>
    <definedName name="GP">Opciones!$G$48</definedName>
    <definedName name="Grup_Clasifica">Opciones!$G$2:$G$6</definedName>
    <definedName name="IncSM">Presupuesto!$O$17</definedName>
    <definedName name="List_prod">PD!$N$10:$N$50</definedName>
    <definedName name="Lt_GP">Opciones!$G$49:$G$121</definedName>
    <definedName name="meses">Cronograma!$G$7</definedName>
    <definedName name="NVEstudios">Opciones!$T$2:$T$9</definedName>
    <definedName name="Presupuesto">Presupuesto!$F$79</definedName>
    <definedName name="PS_Vicein">Integrantes!$O$9</definedName>
    <definedName name="Puntos">PD!$H$31</definedName>
    <definedName name="Rangos">Integrantes!$N$16:$T$25</definedName>
    <definedName name="RelaPts_Ps">Opciones!$B$1:$E$6</definedName>
    <definedName name="SEDESUMNG">Opciones!$P$2:$P$5</definedName>
    <definedName name="SioNo" localSheetId="8">Opciones!$J$2:$J$3</definedName>
    <definedName name="SMLV">Presupuesto!#REF!</definedName>
    <definedName name="Tabla_prod">PD!$N$9:$Y$49</definedName>
    <definedName name="_xlnm.Print_Titles" localSheetId="14">Biblografia!$4:$6</definedName>
    <definedName name="_xlnm.Print_Titles" localSheetId="8">Cronograma!$4:$6</definedName>
    <definedName name="_xlnm.Print_Titles" localSheetId="1">Datos_Generales!$1:$4</definedName>
    <definedName name="_xlnm.Print_Titles" localSheetId="3">Descripción!$1:$8</definedName>
    <definedName name="_xlnm.Print_Titles" localSheetId="6">Estado_del_Arte!$4:$6</definedName>
    <definedName name="_xlnm.Print_Titles" localSheetId="13">Grupo!$4:$6</definedName>
    <definedName name="_xlnm.Print_Titles" localSheetId="15">Imagenes!$1:$8</definedName>
    <definedName name="_xlnm.Print_Titles" localSheetId="12">Impactos!$4:$6</definedName>
    <definedName name="_xlnm.Print_Titles" localSheetId="10">Integrantes!$4:$6</definedName>
    <definedName name="_xlnm.Print_Titles" localSheetId="7">Marco_Teorico!$4:$6</definedName>
    <definedName name="_xlnm.Print_Titles" localSheetId="5">Metodología!$4:$6</definedName>
    <definedName name="_xlnm.Print_Titles" localSheetId="16">Normas!$1:$8</definedName>
    <definedName name="_xlnm.Print_Titles" localSheetId="4">Objetivos!$4:$6</definedName>
    <definedName name="_xlnm.Print_Titles" localSheetId="9">PD!$4:$5</definedName>
    <definedName name="_xlnm.Print_Titles" localSheetId="11">Presupuesto!$4:$5</definedName>
    <definedName name="_xlnm.Print_Titles" localSheetId="2">Resumen!$4:$7</definedName>
    <definedName name="Tp_Entidad">Opciones!$H$2:$H$4</definedName>
    <definedName name="Tp_Impacto">Opciones!$W$2:$W$13</definedName>
    <definedName name="Tp_Productos">Opciones!$R$2:$R$4</definedName>
    <definedName name="Tp_proy">Opciones!$Q$2:$Q$5</definedName>
    <definedName name="TP_Rubro">Presupuesto!$C$65:$C$78</definedName>
    <definedName name="TpCentro2">Opciones!$I$2:$I$3</definedName>
    <definedName name="TPConvocatoria">Opciones!$K$2:$K$4</definedName>
    <definedName name="TpImpac">Opciones!$O$2:$O$7</definedName>
    <definedName name="Val_OPS">Presupuesto!#REF!</definedName>
    <definedName name="VinDoc.Acompañante">Integrantes!$O$22:$O$23</definedName>
    <definedName name="VinEstudiante">Integrantes!$O$24</definedName>
    <definedName name="VinTutor">Integrantes!$O$19:$O$21</definedName>
    <definedName name="VinUMNG">Opciones!$U$2:$U$9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E308" i="2" l="1"/>
  <c r="BD308" i="2"/>
  <c r="BC308" i="2"/>
  <c r="BE307" i="2"/>
  <c r="BD307" i="2"/>
  <c r="BC307" i="2"/>
  <c r="BE306" i="2"/>
  <c r="BD306" i="2"/>
  <c r="BC306" i="2"/>
  <c r="BE305" i="2"/>
  <c r="BD305" i="2"/>
  <c r="BC305" i="2"/>
  <c r="BE304" i="2"/>
  <c r="BD304" i="2"/>
  <c r="BC304" i="2"/>
  <c r="BE303" i="2"/>
  <c r="BD303" i="2"/>
  <c r="BC303" i="2"/>
  <c r="BE302" i="2"/>
  <c r="BD302" i="2"/>
  <c r="BC302" i="2"/>
  <c r="BE301" i="2"/>
  <c r="BD301" i="2"/>
  <c r="BC301" i="2"/>
  <c r="BE300" i="2"/>
  <c r="BD300" i="2"/>
  <c r="BC300" i="2"/>
  <c r="BE299" i="2"/>
  <c r="BD299" i="2"/>
  <c r="BC299" i="2"/>
  <c r="BE298" i="2"/>
  <c r="BD298" i="2"/>
  <c r="BC298" i="2"/>
  <c r="BE297" i="2"/>
  <c r="BD297" i="2"/>
  <c r="BC297" i="2"/>
  <c r="BE296" i="2"/>
  <c r="BD296" i="2"/>
  <c r="BC296" i="2"/>
  <c r="BE295" i="2"/>
  <c r="BD295" i="2"/>
  <c r="BC295" i="2"/>
  <c r="BE294" i="2"/>
  <c r="BD294" i="2"/>
  <c r="BC294" i="2"/>
  <c r="BE293" i="2"/>
  <c r="BD293" i="2"/>
  <c r="BC293" i="2"/>
  <c r="BE292" i="2"/>
  <c r="BD292" i="2"/>
  <c r="BC292" i="2"/>
  <c r="BE291" i="2"/>
  <c r="BD291" i="2"/>
  <c r="BC291" i="2"/>
  <c r="BE290" i="2"/>
  <c r="BD290" i="2"/>
  <c r="BC290" i="2"/>
  <c r="BE289" i="2"/>
  <c r="BD289" i="2"/>
  <c r="BC289" i="2"/>
  <c r="BE288" i="2"/>
  <c r="BD288" i="2"/>
  <c r="BC288" i="2"/>
  <c r="BE287" i="2"/>
  <c r="BD287" i="2"/>
  <c r="BC287" i="2"/>
  <c r="BE286" i="2"/>
  <c r="BD286" i="2"/>
  <c r="BC286" i="2"/>
  <c r="BE285" i="2"/>
  <c r="BD285" i="2"/>
  <c r="BC285" i="2"/>
  <c r="BE284" i="2"/>
  <c r="BD284" i="2"/>
  <c r="BC284" i="2"/>
  <c r="BE283" i="2"/>
  <c r="BD283" i="2"/>
  <c r="BC283" i="2"/>
  <c r="BE282" i="2"/>
  <c r="BD282" i="2"/>
  <c r="BC282" i="2"/>
  <c r="BE281" i="2"/>
  <c r="BD281" i="2"/>
  <c r="BC281" i="2"/>
  <c r="BE280" i="2"/>
  <c r="BD280" i="2"/>
  <c r="BC280" i="2"/>
  <c r="BE279" i="2"/>
  <c r="BD279" i="2"/>
  <c r="BC279" i="2"/>
  <c r="BE278" i="2"/>
  <c r="BD278" i="2"/>
  <c r="BC278" i="2"/>
  <c r="BE277" i="2"/>
  <c r="BD277" i="2"/>
  <c r="BC277" i="2"/>
  <c r="BE276" i="2"/>
  <c r="BD276" i="2"/>
  <c r="BC276" i="2"/>
  <c r="BE275" i="2"/>
  <c r="BD275" i="2"/>
  <c r="BC275" i="2"/>
  <c r="BE274" i="2"/>
  <c r="BD274" i="2"/>
  <c r="BC274" i="2"/>
  <c r="BE273" i="2"/>
  <c r="BD273" i="2"/>
  <c r="BC273" i="2"/>
  <c r="BE272" i="2"/>
  <c r="BD272" i="2"/>
  <c r="BC272" i="2"/>
  <c r="BE271" i="2"/>
  <c r="BD271" i="2"/>
  <c r="BC271" i="2"/>
  <c r="BE270" i="2"/>
  <c r="BD270" i="2"/>
  <c r="BC270" i="2"/>
  <c r="BE269" i="2"/>
  <c r="BD269" i="2"/>
  <c r="BC269" i="2"/>
  <c r="BE268" i="2"/>
  <c r="BD268" i="2"/>
  <c r="BC268" i="2"/>
  <c r="BE267" i="2"/>
  <c r="BD267" i="2"/>
  <c r="BC267" i="2"/>
  <c r="BE266" i="2"/>
  <c r="BD266" i="2"/>
  <c r="BC266" i="2"/>
  <c r="BE265" i="2"/>
  <c r="BD265" i="2"/>
  <c r="BC265" i="2"/>
  <c r="BE264" i="2"/>
  <c r="BD264" i="2"/>
  <c r="BC264" i="2"/>
  <c r="BE263" i="2"/>
  <c r="BD263" i="2"/>
  <c r="BC263" i="2"/>
  <c r="BE262" i="2"/>
  <c r="BD262" i="2"/>
  <c r="BC262" i="2"/>
  <c r="BE261" i="2"/>
  <c r="BD261" i="2"/>
  <c r="BC261" i="2"/>
  <c r="BE260" i="2"/>
  <c r="BD260" i="2"/>
  <c r="BC260" i="2"/>
  <c r="BE259" i="2"/>
  <c r="BD259" i="2"/>
  <c r="BC259" i="2"/>
  <c r="BE258" i="2"/>
  <c r="BD258" i="2"/>
  <c r="BC258" i="2"/>
  <c r="BE257" i="2"/>
  <c r="BD257" i="2"/>
  <c r="BC257" i="2"/>
  <c r="BE256" i="2"/>
  <c r="BD256" i="2"/>
  <c r="BC256" i="2"/>
  <c r="BE255" i="2"/>
  <c r="BD255" i="2"/>
  <c r="BC255" i="2"/>
  <c r="BE254" i="2"/>
  <c r="BD254" i="2"/>
  <c r="BC254" i="2"/>
  <c r="BE253" i="2"/>
  <c r="BD253" i="2"/>
  <c r="BC253" i="2"/>
  <c r="BE252" i="2"/>
  <c r="BD252" i="2"/>
  <c r="BC252" i="2"/>
  <c r="BE251" i="2"/>
  <c r="BD251" i="2"/>
  <c r="BC251" i="2"/>
  <c r="BE250" i="2"/>
  <c r="BD250" i="2"/>
  <c r="BC250" i="2"/>
  <c r="BE249" i="2"/>
  <c r="BD249" i="2"/>
  <c r="BC249" i="2"/>
  <c r="BE248" i="2"/>
  <c r="BD248" i="2"/>
  <c r="BC248" i="2"/>
  <c r="BE247" i="2"/>
  <c r="BD247" i="2"/>
  <c r="BC247" i="2"/>
  <c r="BE246" i="2"/>
  <c r="BD246" i="2"/>
  <c r="BC246" i="2"/>
  <c r="BE245" i="2"/>
  <c r="BD245" i="2"/>
  <c r="BC245" i="2"/>
  <c r="BE244" i="2"/>
  <c r="BD244" i="2"/>
  <c r="BC244" i="2"/>
  <c r="BE243" i="2"/>
  <c r="BD243" i="2"/>
  <c r="BC243" i="2"/>
  <c r="BE242" i="2"/>
  <c r="BD242" i="2"/>
  <c r="BC242" i="2"/>
  <c r="BE241" i="2"/>
  <c r="BD241" i="2"/>
  <c r="BC241" i="2"/>
  <c r="BE240" i="2"/>
  <c r="BD240" i="2"/>
  <c r="BC240" i="2"/>
  <c r="BE239" i="2"/>
  <c r="BD239" i="2"/>
  <c r="BC239" i="2"/>
  <c r="BE238" i="2"/>
  <c r="BD238" i="2"/>
  <c r="BC238" i="2"/>
  <c r="BE237" i="2"/>
  <c r="BD237" i="2"/>
  <c r="BC237" i="2"/>
  <c r="BE236" i="2"/>
  <c r="BD236" i="2"/>
  <c r="BC236" i="2"/>
  <c r="BE235" i="2"/>
  <c r="BD235" i="2"/>
  <c r="BC235" i="2"/>
  <c r="BE234" i="2"/>
  <c r="BD234" i="2"/>
  <c r="BC234" i="2"/>
  <c r="BE233" i="2"/>
  <c r="BD233" i="2"/>
  <c r="BC233" i="2"/>
  <c r="BE232" i="2"/>
  <c r="BD232" i="2"/>
  <c r="BC232" i="2"/>
  <c r="BE231" i="2"/>
  <c r="BD231" i="2"/>
  <c r="BC231" i="2"/>
  <c r="BE230" i="2"/>
  <c r="BD230" i="2"/>
  <c r="BC230" i="2"/>
  <c r="BE229" i="2"/>
  <c r="BD229" i="2"/>
  <c r="BC229" i="2"/>
  <c r="BE228" i="2"/>
  <c r="BD228" i="2"/>
  <c r="BC228" i="2"/>
  <c r="BE227" i="2"/>
  <c r="BD227" i="2"/>
  <c r="BC227" i="2"/>
  <c r="BE226" i="2"/>
  <c r="BD226" i="2"/>
  <c r="BC226" i="2"/>
  <c r="BE225" i="2"/>
  <c r="BD225" i="2"/>
  <c r="BC225" i="2"/>
  <c r="BE224" i="2"/>
  <c r="BD224" i="2"/>
  <c r="BC224" i="2"/>
  <c r="BE223" i="2"/>
  <c r="BD223" i="2"/>
  <c r="BC223" i="2"/>
  <c r="BE222" i="2"/>
  <c r="BD222" i="2"/>
  <c r="BC222" i="2"/>
  <c r="BE221" i="2"/>
  <c r="BD221" i="2"/>
  <c r="BC221" i="2"/>
  <c r="BE220" i="2"/>
  <c r="BD220" i="2"/>
  <c r="BC220" i="2"/>
  <c r="BE219" i="2"/>
  <c r="BD219" i="2"/>
  <c r="BC219" i="2"/>
  <c r="BE218" i="2"/>
  <c r="BD218" i="2"/>
  <c r="BC218" i="2"/>
  <c r="BE217" i="2"/>
  <c r="BD217" i="2"/>
  <c r="BC217" i="2"/>
  <c r="BE216" i="2"/>
  <c r="BD216" i="2"/>
  <c r="BC216" i="2"/>
  <c r="BE215" i="2"/>
  <c r="BD215" i="2"/>
  <c r="BC215" i="2"/>
  <c r="BE214" i="2"/>
  <c r="BD214" i="2"/>
  <c r="BC214" i="2"/>
  <c r="BE213" i="2"/>
  <c r="BD213" i="2"/>
  <c r="BC213" i="2"/>
  <c r="BE212" i="2"/>
  <c r="BD212" i="2"/>
  <c r="BC212" i="2"/>
  <c r="BE211" i="2"/>
  <c r="BD211" i="2"/>
  <c r="BC211" i="2"/>
  <c r="BE210" i="2"/>
  <c r="BD210" i="2"/>
  <c r="BC210" i="2"/>
  <c r="BE209" i="2"/>
  <c r="BD209" i="2"/>
  <c r="BC209" i="2"/>
  <c r="BE208" i="2"/>
  <c r="BD208" i="2"/>
  <c r="BC208" i="2"/>
  <c r="BE207" i="2"/>
  <c r="BD207" i="2"/>
  <c r="BC207" i="2"/>
  <c r="BE206" i="2"/>
  <c r="BD206" i="2"/>
  <c r="BC206" i="2"/>
  <c r="BE205" i="2"/>
  <c r="BD205" i="2"/>
  <c r="BC205" i="2"/>
  <c r="BE204" i="2"/>
  <c r="BD204" i="2"/>
  <c r="BC204" i="2"/>
  <c r="BE203" i="2"/>
  <c r="BD203" i="2"/>
  <c r="BC203" i="2"/>
  <c r="BE202" i="2"/>
  <c r="BD202" i="2"/>
  <c r="BC202" i="2"/>
  <c r="BE201" i="2"/>
  <c r="BD201" i="2"/>
  <c r="BC201" i="2"/>
  <c r="BE200" i="2"/>
  <c r="BD200" i="2"/>
  <c r="BC200" i="2"/>
  <c r="BE199" i="2"/>
  <c r="BD199" i="2"/>
  <c r="BC199" i="2"/>
  <c r="BE198" i="2"/>
  <c r="BD198" i="2"/>
  <c r="BC198" i="2"/>
  <c r="BE197" i="2"/>
  <c r="BD197" i="2"/>
  <c r="BC197" i="2"/>
  <c r="BE196" i="2"/>
  <c r="BD196" i="2"/>
  <c r="BC196" i="2"/>
  <c r="BE195" i="2"/>
  <c r="BD195" i="2"/>
  <c r="BC195" i="2"/>
  <c r="BE194" i="2"/>
  <c r="BD194" i="2"/>
  <c r="BC194" i="2"/>
  <c r="BE193" i="2"/>
  <c r="BD193" i="2"/>
  <c r="BC193" i="2"/>
  <c r="BE192" i="2"/>
  <c r="BD192" i="2"/>
  <c r="BC192" i="2"/>
  <c r="BE191" i="2"/>
  <c r="BD191" i="2"/>
  <c r="BC191" i="2"/>
  <c r="BE190" i="2"/>
  <c r="BD190" i="2"/>
  <c r="BC190" i="2"/>
  <c r="BE189" i="2"/>
  <c r="BD189" i="2"/>
  <c r="BC189" i="2"/>
  <c r="BE188" i="2"/>
  <c r="BD188" i="2"/>
  <c r="BC188" i="2"/>
  <c r="BE187" i="2"/>
  <c r="BD187" i="2"/>
  <c r="BC187" i="2"/>
  <c r="BE186" i="2"/>
  <c r="BD186" i="2"/>
  <c r="BC186" i="2"/>
  <c r="BE185" i="2"/>
  <c r="BD185" i="2"/>
  <c r="BC185" i="2"/>
  <c r="BE184" i="2"/>
  <c r="BD184" i="2"/>
  <c r="BC184" i="2"/>
  <c r="BE183" i="2"/>
  <c r="BD183" i="2"/>
  <c r="BC183" i="2"/>
  <c r="BE182" i="2"/>
  <c r="BD182" i="2"/>
  <c r="BC182" i="2"/>
  <c r="BE181" i="2"/>
  <c r="BD181" i="2"/>
  <c r="BC181" i="2"/>
  <c r="BE180" i="2"/>
  <c r="BD180" i="2"/>
  <c r="BC180" i="2"/>
  <c r="BE179" i="2"/>
  <c r="BD179" i="2"/>
  <c r="BC179" i="2"/>
  <c r="BE178" i="2"/>
  <c r="BD178" i="2"/>
  <c r="BC178" i="2"/>
  <c r="BE177" i="2"/>
  <c r="BD177" i="2"/>
  <c r="BC177" i="2"/>
  <c r="BE176" i="2"/>
  <c r="BD176" i="2"/>
  <c r="BC176" i="2"/>
  <c r="BE175" i="2"/>
  <c r="BD175" i="2"/>
  <c r="BC175" i="2"/>
  <c r="BE174" i="2"/>
  <c r="BD174" i="2"/>
  <c r="BC174" i="2"/>
  <c r="BE173" i="2"/>
  <c r="BD173" i="2"/>
  <c r="BC173" i="2"/>
  <c r="BE172" i="2"/>
  <c r="BD172" i="2"/>
  <c r="BC172" i="2"/>
  <c r="BE171" i="2"/>
  <c r="BD171" i="2"/>
  <c r="BC171" i="2"/>
  <c r="BE170" i="2"/>
  <c r="BD170" i="2"/>
  <c r="BC170" i="2"/>
  <c r="BE169" i="2"/>
  <c r="BD169" i="2"/>
  <c r="BC169" i="2"/>
  <c r="BE168" i="2"/>
  <c r="BD168" i="2"/>
  <c r="BC168" i="2"/>
  <c r="BE167" i="2"/>
  <c r="BD167" i="2"/>
  <c r="BC167" i="2"/>
  <c r="BE166" i="2"/>
  <c r="BD166" i="2"/>
  <c r="BC166" i="2"/>
  <c r="BE165" i="2"/>
  <c r="BD165" i="2"/>
  <c r="BC165" i="2"/>
  <c r="BE164" i="2"/>
  <c r="BD164" i="2"/>
  <c r="BC164" i="2"/>
  <c r="BE163" i="2"/>
  <c r="BD163" i="2"/>
  <c r="BC163" i="2"/>
  <c r="BE162" i="2"/>
  <c r="BD162" i="2"/>
  <c r="BC162" i="2"/>
  <c r="BE161" i="2"/>
  <c r="BD161" i="2"/>
  <c r="BC161" i="2"/>
  <c r="BE160" i="2"/>
  <c r="BD160" i="2"/>
  <c r="BC160" i="2"/>
  <c r="BE159" i="2"/>
  <c r="BD159" i="2"/>
  <c r="BC159" i="2"/>
  <c r="BE158" i="2"/>
  <c r="BD158" i="2"/>
  <c r="BC158" i="2"/>
  <c r="BE157" i="2"/>
  <c r="BD157" i="2"/>
  <c r="BC157" i="2"/>
  <c r="BE156" i="2"/>
  <c r="BD156" i="2"/>
  <c r="BC156" i="2"/>
  <c r="BE155" i="2"/>
  <c r="BD155" i="2"/>
  <c r="BC155" i="2"/>
  <c r="BE154" i="2"/>
  <c r="BD154" i="2"/>
  <c r="BC154" i="2"/>
  <c r="BE153" i="2"/>
  <c r="BD153" i="2"/>
  <c r="BC153" i="2"/>
  <c r="BE152" i="2"/>
  <c r="BD152" i="2"/>
  <c r="BC152" i="2"/>
  <c r="BE151" i="2"/>
  <c r="BD151" i="2"/>
  <c r="BC151" i="2"/>
  <c r="BE150" i="2"/>
  <c r="BD150" i="2"/>
  <c r="BC150" i="2"/>
  <c r="BE149" i="2"/>
  <c r="BD149" i="2"/>
  <c r="BC149" i="2"/>
  <c r="BE148" i="2"/>
  <c r="BD148" i="2"/>
  <c r="BC148" i="2"/>
  <c r="BE147" i="2"/>
  <c r="BD147" i="2"/>
  <c r="BC147" i="2"/>
  <c r="BE146" i="2"/>
  <c r="BD146" i="2"/>
  <c r="BC146" i="2"/>
  <c r="BE145" i="2"/>
  <c r="BD145" i="2"/>
  <c r="BC145" i="2"/>
  <c r="BE144" i="2"/>
  <c r="BD144" i="2"/>
  <c r="BC144" i="2"/>
  <c r="BE143" i="2"/>
  <c r="BD143" i="2"/>
  <c r="BC143" i="2"/>
  <c r="BE142" i="2"/>
  <c r="BD142" i="2"/>
  <c r="BC142" i="2"/>
  <c r="BE141" i="2"/>
  <c r="BD141" i="2"/>
  <c r="BC141" i="2"/>
  <c r="BE140" i="2"/>
  <c r="BD140" i="2"/>
  <c r="BC140" i="2"/>
  <c r="BE139" i="2"/>
  <c r="BD139" i="2"/>
  <c r="BC139" i="2"/>
  <c r="BE138" i="2"/>
  <c r="BD138" i="2"/>
  <c r="BC138" i="2"/>
  <c r="BE137" i="2"/>
  <c r="BD137" i="2"/>
  <c r="BC137" i="2"/>
  <c r="BE136" i="2"/>
  <c r="BD136" i="2"/>
  <c r="BC136" i="2"/>
  <c r="BE135" i="2"/>
  <c r="BD135" i="2"/>
  <c r="BC135" i="2"/>
  <c r="BE134" i="2"/>
  <c r="BD134" i="2"/>
  <c r="BC134" i="2"/>
  <c r="BE133" i="2"/>
  <c r="BD133" i="2"/>
  <c r="BC133" i="2"/>
  <c r="BE132" i="2"/>
  <c r="BD132" i="2"/>
  <c r="BC132" i="2"/>
  <c r="BE131" i="2"/>
  <c r="BD131" i="2"/>
  <c r="BC131" i="2"/>
  <c r="BE130" i="2"/>
  <c r="BD130" i="2"/>
  <c r="BC130" i="2"/>
  <c r="BE129" i="2"/>
  <c r="BD129" i="2"/>
  <c r="BC129" i="2"/>
  <c r="BE128" i="2"/>
  <c r="BD128" i="2"/>
  <c r="BC128" i="2"/>
  <c r="BE127" i="2"/>
  <c r="BD127" i="2"/>
  <c r="BC127" i="2"/>
  <c r="BE126" i="2"/>
  <c r="BD126" i="2"/>
  <c r="BC126" i="2"/>
  <c r="BE125" i="2"/>
  <c r="BD125" i="2"/>
  <c r="BC125" i="2"/>
  <c r="BE124" i="2"/>
  <c r="BD124" i="2"/>
  <c r="BC124" i="2"/>
  <c r="BE123" i="2"/>
  <c r="BD123" i="2"/>
  <c r="BC123" i="2"/>
  <c r="BE122" i="2"/>
  <c r="BD122" i="2"/>
  <c r="BC122" i="2"/>
  <c r="BE121" i="2"/>
  <c r="BD121" i="2"/>
  <c r="BC121" i="2"/>
  <c r="BE120" i="2"/>
  <c r="BD120" i="2"/>
  <c r="BC120" i="2"/>
  <c r="BE119" i="2"/>
  <c r="BD119" i="2"/>
  <c r="BC119" i="2"/>
  <c r="BE118" i="2"/>
  <c r="BD118" i="2"/>
  <c r="BC118" i="2"/>
  <c r="BE117" i="2"/>
  <c r="BD117" i="2"/>
  <c r="BC117" i="2"/>
  <c r="BE116" i="2"/>
  <c r="BD116" i="2"/>
  <c r="BC116" i="2"/>
  <c r="BE115" i="2"/>
  <c r="BD115" i="2"/>
  <c r="BC115" i="2"/>
  <c r="BE114" i="2"/>
  <c r="BD114" i="2"/>
  <c r="BC114" i="2"/>
  <c r="BE113" i="2"/>
  <c r="BD113" i="2"/>
  <c r="BC113" i="2"/>
  <c r="BE112" i="2"/>
  <c r="BD112" i="2"/>
  <c r="BC112" i="2"/>
  <c r="BE111" i="2"/>
  <c r="BD111" i="2"/>
  <c r="BC111" i="2"/>
  <c r="BE110" i="2"/>
  <c r="BD110" i="2"/>
  <c r="BC110" i="2"/>
  <c r="BE109" i="2"/>
  <c r="BD109" i="2"/>
  <c r="BC109" i="2"/>
  <c r="BE108" i="2"/>
  <c r="BD108" i="2"/>
  <c r="BC108" i="2"/>
  <c r="BE107" i="2"/>
  <c r="BD107" i="2"/>
  <c r="BC107" i="2"/>
  <c r="BE106" i="2"/>
  <c r="BD106" i="2"/>
  <c r="BC106" i="2"/>
  <c r="BE105" i="2"/>
  <c r="BD105" i="2"/>
  <c r="BC105" i="2"/>
  <c r="BE104" i="2"/>
  <c r="BD104" i="2"/>
  <c r="BC104" i="2"/>
  <c r="BE103" i="2"/>
  <c r="BD103" i="2"/>
  <c r="BC103" i="2"/>
  <c r="BE102" i="2"/>
  <c r="BD102" i="2"/>
  <c r="BC102" i="2"/>
  <c r="BE101" i="2"/>
  <c r="BD101" i="2"/>
  <c r="BC101" i="2"/>
  <c r="BE100" i="2"/>
  <c r="BD100" i="2"/>
  <c r="BC100" i="2"/>
  <c r="BE99" i="2"/>
  <c r="BD99" i="2"/>
  <c r="BC99" i="2"/>
  <c r="BE98" i="2"/>
  <c r="BD98" i="2"/>
  <c r="BC98" i="2"/>
  <c r="BE97" i="2"/>
  <c r="BD97" i="2"/>
  <c r="BC97" i="2"/>
  <c r="BE96" i="2"/>
  <c r="BD96" i="2"/>
  <c r="BC96" i="2"/>
  <c r="BE95" i="2"/>
  <c r="BD95" i="2"/>
  <c r="BC95" i="2"/>
  <c r="BE94" i="2"/>
  <c r="BD94" i="2"/>
  <c r="BC94" i="2"/>
  <c r="BE93" i="2"/>
  <c r="BD93" i="2"/>
  <c r="BC93" i="2"/>
  <c r="BE92" i="2"/>
  <c r="BD92" i="2"/>
  <c r="BC92" i="2"/>
  <c r="BE91" i="2"/>
  <c r="BD91" i="2"/>
  <c r="BC91" i="2"/>
  <c r="BE90" i="2"/>
  <c r="BD90" i="2"/>
  <c r="BC90" i="2"/>
  <c r="BE89" i="2"/>
  <c r="BD89" i="2"/>
  <c r="BC89" i="2"/>
  <c r="BE88" i="2"/>
  <c r="BD88" i="2"/>
  <c r="BC88" i="2"/>
  <c r="BE87" i="2"/>
  <c r="BD87" i="2"/>
  <c r="BC87" i="2"/>
  <c r="BE86" i="2"/>
  <c r="BD86" i="2"/>
  <c r="BC86" i="2"/>
  <c r="BE85" i="2"/>
  <c r="BD85" i="2"/>
  <c r="BC85" i="2"/>
  <c r="BE84" i="2"/>
  <c r="BD84" i="2"/>
  <c r="BC84" i="2"/>
  <c r="BE83" i="2"/>
  <c r="BD83" i="2"/>
  <c r="BC83" i="2"/>
  <c r="BE82" i="2"/>
  <c r="BD82" i="2"/>
  <c r="BC82" i="2"/>
  <c r="BE81" i="2"/>
  <c r="BD81" i="2"/>
  <c r="BC81" i="2"/>
  <c r="BE80" i="2"/>
  <c r="BD80" i="2"/>
  <c r="BC80" i="2"/>
  <c r="BE79" i="2"/>
  <c r="BD79" i="2"/>
  <c r="BC79" i="2"/>
  <c r="BE78" i="2"/>
  <c r="BD78" i="2"/>
  <c r="BC78" i="2"/>
  <c r="BE77" i="2"/>
  <c r="BD77" i="2"/>
  <c r="BC77" i="2"/>
  <c r="BE76" i="2"/>
  <c r="BD76" i="2"/>
  <c r="BC76" i="2"/>
  <c r="BE75" i="2"/>
  <c r="BD75" i="2"/>
  <c r="BC75" i="2"/>
  <c r="BE74" i="2"/>
  <c r="BD74" i="2"/>
  <c r="BC74" i="2"/>
  <c r="BE73" i="2"/>
  <c r="BD73" i="2"/>
  <c r="BC73" i="2"/>
  <c r="BE72" i="2"/>
  <c r="BD72" i="2"/>
  <c r="BC72" i="2"/>
  <c r="BE71" i="2"/>
  <c r="BD71" i="2"/>
  <c r="BC71" i="2"/>
  <c r="BE70" i="2"/>
  <c r="BD70" i="2"/>
  <c r="BC70" i="2"/>
  <c r="BE69" i="2"/>
  <c r="BD69" i="2"/>
  <c r="BC69" i="2"/>
  <c r="BE68" i="2"/>
  <c r="BD68" i="2"/>
  <c r="BC68" i="2"/>
  <c r="BE67" i="2"/>
  <c r="BD67" i="2"/>
  <c r="BC67" i="2"/>
  <c r="BE66" i="2"/>
  <c r="BD66" i="2"/>
  <c r="BC66" i="2"/>
  <c r="BE65" i="2"/>
  <c r="BD65" i="2"/>
  <c r="BC65" i="2"/>
  <c r="BE64" i="2"/>
  <c r="BD64" i="2"/>
  <c r="BC64" i="2"/>
  <c r="BE63" i="2"/>
  <c r="BD63" i="2"/>
  <c r="BC63" i="2"/>
  <c r="BE62" i="2"/>
  <c r="BD62" i="2"/>
  <c r="BC62" i="2"/>
  <c r="BE61" i="2"/>
  <c r="BD61" i="2"/>
  <c r="BC61" i="2"/>
  <c r="BE60" i="2"/>
  <c r="BD60" i="2"/>
  <c r="BC60" i="2"/>
  <c r="BE59" i="2"/>
  <c r="BD59" i="2"/>
  <c r="BC59" i="2"/>
  <c r="BE58" i="2"/>
  <c r="BD58" i="2"/>
  <c r="BC58" i="2"/>
  <c r="BE57" i="2"/>
  <c r="BD57" i="2"/>
  <c r="BC57" i="2"/>
  <c r="BE56" i="2"/>
  <c r="BD56" i="2"/>
  <c r="BC56" i="2"/>
  <c r="BE55" i="2"/>
  <c r="BD55" i="2"/>
  <c r="BC55" i="2"/>
  <c r="BE54" i="2"/>
  <c r="BD54" i="2"/>
  <c r="BC54" i="2"/>
  <c r="BE53" i="2"/>
  <c r="BD53" i="2"/>
  <c r="BC53" i="2"/>
  <c r="BE52" i="2"/>
  <c r="BD52" i="2"/>
  <c r="BC52" i="2"/>
  <c r="BE51" i="2"/>
  <c r="BD51" i="2"/>
  <c r="BC51" i="2"/>
  <c r="BE50" i="2"/>
  <c r="BD50" i="2"/>
  <c r="BC50" i="2"/>
  <c r="BE49" i="2"/>
  <c r="BD49" i="2"/>
  <c r="BC49" i="2"/>
  <c r="BE48" i="2"/>
  <c r="BD48" i="2"/>
  <c r="BC48" i="2"/>
  <c r="BE47" i="2"/>
  <c r="BD47" i="2"/>
  <c r="BC47" i="2"/>
  <c r="BE46" i="2"/>
  <c r="BD46" i="2"/>
  <c r="BC46" i="2"/>
  <c r="BE45" i="2"/>
  <c r="BD45" i="2"/>
  <c r="BC45" i="2"/>
  <c r="BE44" i="2"/>
  <c r="BD44" i="2"/>
  <c r="BC44" i="2"/>
  <c r="BE43" i="2"/>
  <c r="BD43" i="2"/>
  <c r="BC43" i="2"/>
  <c r="BE42" i="2"/>
  <c r="BD42" i="2"/>
  <c r="BC42" i="2"/>
  <c r="BE41" i="2"/>
  <c r="BD41" i="2"/>
  <c r="BC41" i="2"/>
  <c r="BE40" i="2"/>
  <c r="BD40" i="2"/>
  <c r="BC40" i="2"/>
  <c r="BE39" i="2"/>
  <c r="BD39" i="2"/>
  <c r="BC39" i="2"/>
  <c r="BE38" i="2"/>
  <c r="BD38" i="2"/>
  <c r="BC38" i="2"/>
  <c r="BE37" i="2"/>
  <c r="BD37" i="2"/>
  <c r="BC37" i="2"/>
  <c r="BE36" i="2"/>
  <c r="BD36" i="2"/>
  <c r="BC36" i="2"/>
  <c r="BE35" i="2"/>
  <c r="BD35" i="2"/>
  <c r="BC35" i="2"/>
  <c r="BE34" i="2"/>
  <c r="BD34" i="2"/>
  <c r="BC34" i="2"/>
  <c r="BE33" i="2"/>
  <c r="BD33" i="2"/>
  <c r="BC33" i="2"/>
  <c r="BE32" i="2"/>
  <c r="BD32" i="2"/>
  <c r="BC32" i="2"/>
  <c r="BE31" i="2"/>
  <c r="BD31" i="2"/>
  <c r="BC31" i="2"/>
  <c r="BE30" i="2"/>
  <c r="BD30" i="2"/>
  <c r="BC30" i="2"/>
  <c r="BE29" i="2"/>
  <c r="BD29" i="2"/>
  <c r="BC29" i="2"/>
  <c r="BE28" i="2"/>
  <c r="BD28" i="2"/>
  <c r="BC28" i="2"/>
  <c r="BE27" i="2"/>
  <c r="BD27" i="2"/>
  <c r="BC27" i="2"/>
  <c r="BE26" i="2"/>
  <c r="BD26" i="2"/>
  <c r="BC26" i="2"/>
  <c r="BE25" i="2"/>
  <c r="BD25" i="2"/>
  <c r="BC25" i="2"/>
  <c r="BE24" i="2"/>
  <c r="BD24" i="2"/>
  <c r="BC24" i="2"/>
  <c r="BE23" i="2"/>
  <c r="BD23" i="2"/>
  <c r="BC23" i="2"/>
  <c r="BE22" i="2"/>
  <c r="BD22" i="2"/>
  <c r="BC22" i="2"/>
  <c r="BE21" i="2"/>
  <c r="BD21" i="2"/>
  <c r="BC21" i="2"/>
  <c r="BE20" i="2"/>
  <c r="BD20" i="2"/>
  <c r="BC20" i="2"/>
  <c r="BE19" i="2"/>
  <c r="BD19" i="2"/>
  <c r="BC19" i="2"/>
  <c r="BE18" i="2"/>
  <c r="BD18" i="2"/>
  <c r="BC18" i="2"/>
  <c r="BE17" i="2"/>
  <c r="BD17" i="2"/>
  <c r="BC17" i="2"/>
  <c r="BE16" i="2"/>
  <c r="BD16" i="2"/>
  <c r="BC16" i="2"/>
  <c r="BE15" i="2"/>
  <c r="BD15" i="2"/>
  <c r="BC15" i="2"/>
  <c r="BE14" i="2"/>
  <c r="BD14" i="2"/>
  <c r="BC14" i="2"/>
  <c r="BE13" i="2"/>
  <c r="BD13" i="2"/>
  <c r="BC13" i="2"/>
  <c r="BE12" i="2"/>
  <c r="BD12" i="2"/>
  <c r="BC12" i="2"/>
  <c r="BE11" i="2"/>
  <c r="BD11" i="2"/>
  <c r="BC11" i="2"/>
  <c r="BE10" i="2"/>
  <c r="BD10" i="2"/>
  <c r="BC10" i="2"/>
  <c r="BE9" i="2"/>
  <c r="BD9" i="2"/>
  <c r="BC9" i="2"/>
  <c r="BE8" i="2"/>
  <c r="BD8" i="2"/>
  <c r="BC8" i="2"/>
  <c r="BE7" i="2"/>
  <c r="BD7" i="2"/>
  <c r="AV10" i="2" s="1" a="1"/>
  <c r="AV10" i="2" s="1"/>
  <c r="BC7" i="2"/>
  <c r="BE6" i="2"/>
  <c r="BD6" i="2"/>
  <c r="AW12" i="2" s="1" a="1"/>
  <c r="AW12" i="2" s="1"/>
  <c r="BC6" i="2"/>
  <c r="BE5" i="2"/>
  <c r="BD5" i="2"/>
  <c r="AV38" i="2" s="1" a="1"/>
  <c r="AV38" i="2" s="1"/>
  <c r="BC5" i="2"/>
  <c r="BE4" i="2"/>
  <c r="BD4" i="2"/>
  <c r="BC4" i="2"/>
  <c r="AM72" i="2"/>
  <c r="AM73" i="2"/>
  <c r="AM74" i="2"/>
  <c r="AM75" i="2"/>
  <c r="AM76" i="2"/>
  <c r="AX76" i="2"/>
  <c r="AU76" i="2"/>
  <c r="AX75" i="2"/>
  <c r="AU75" i="2"/>
  <c r="AX74" i="2"/>
  <c r="AU74" i="2"/>
  <c r="AX73" i="2"/>
  <c r="AU73" i="2"/>
  <c r="AX72" i="2"/>
  <c r="AU72" i="2"/>
  <c r="AX71" i="2"/>
  <c r="AU71" i="2"/>
  <c r="AX70" i="2"/>
  <c r="AU70" i="2"/>
  <c r="AX69" i="2"/>
  <c r="AU69" i="2"/>
  <c r="AX68" i="2"/>
  <c r="AU68" i="2"/>
  <c r="AX67" i="2"/>
  <c r="AU67" i="2"/>
  <c r="AX66" i="2"/>
  <c r="AU66" i="2"/>
  <c r="AX65" i="2"/>
  <c r="AU65" i="2"/>
  <c r="AX64" i="2"/>
  <c r="AU64" i="2"/>
  <c r="AX63" i="2"/>
  <c r="AU63" i="2"/>
  <c r="AX62" i="2"/>
  <c r="AU62" i="2"/>
  <c r="AX61" i="2"/>
  <c r="AU61" i="2"/>
  <c r="AX60" i="2"/>
  <c r="AU60" i="2"/>
  <c r="AX59" i="2"/>
  <c r="AU59" i="2"/>
  <c r="AX58" i="2"/>
  <c r="AU58" i="2"/>
  <c r="AX57" i="2"/>
  <c r="AU57" i="2"/>
  <c r="AX56" i="2"/>
  <c r="AU56" i="2"/>
  <c r="AX55" i="2"/>
  <c r="AU55" i="2"/>
  <c r="AX54" i="2"/>
  <c r="AU54" i="2"/>
  <c r="AX53" i="2"/>
  <c r="AU53" i="2"/>
  <c r="AX52" i="2"/>
  <c r="AU52" i="2"/>
  <c r="AX51" i="2"/>
  <c r="AU51" i="2"/>
  <c r="AX50" i="2"/>
  <c r="AU50" i="2"/>
  <c r="AX49" i="2"/>
  <c r="AU49" i="2"/>
  <c r="AX48" i="2"/>
  <c r="AU48" i="2"/>
  <c r="AX47" i="2"/>
  <c r="AU47" i="2"/>
  <c r="AX46" i="2"/>
  <c r="AU46" i="2"/>
  <c r="AX45" i="2"/>
  <c r="AU45" i="2"/>
  <c r="AX44" i="2"/>
  <c r="AU44" i="2"/>
  <c r="AX43" i="2"/>
  <c r="AU43" i="2"/>
  <c r="AX42" i="2"/>
  <c r="AU42" i="2"/>
  <c r="AX41" i="2"/>
  <c r="AU41" i="2"/>
  <c r="AX40" i="2"/>
  <c r="AU40" i="2"/>
  <c r="AX39" i="2"/>
  <c r="AU39" i="2"/>
  <c r="AX38" i="2"/>
  <c r="AU38" i="2"/>
  <c r="AX37" i="2"/>
  <c r="AU37" i="2"/>
  <c r="AX36" i="2"/>
  <c r="AU36" i="2"/>
  <c r="AX35" i="2"/>
  <c r="AU35" i="2"/>
  <c r="AX34" i="2"/>
  <c r="AU34" i="2"/>
  <c r="AX33" i="2"/>
  <c r="AU33" i="2"/>
  <c r="AX32" i="2"/>
  <c r="AU32" i="2"/>
  <c r="AX31" i="2"/>
  <c r="AU31" i="2"/>
  <c r="AX30" i="2"/>
  <c r="AU30" i="2"/>
  <c r="AX29" i="2"/>
  <c r="AU29" i="2"/>
  <c r="AX28" i="2"/>
  <c r="AU28" i="2"/>
  <c r="AX27" i="2"/>
  <c r="AU27" i="2"/>
  <c r="AX26" i="2"/>
  <c r="AU26" i="2"/>
  <c r="AX25" i="2"/>
  <c r="AU25" i="2"/>
  <c r="AX24" i="2"/>
  <c r="AU24" i="2"/>
  <c r="AX23" i="2"/>
  <c r="AU23" i="2"/>
  <c r="AX22" i="2"/>
  <c r="AU22" i="2"/>
  <c r="AX21" i="2"/>
  <c r="AU21" i="2"/>
  <c r="AX20" i="2"/>
  <c r="AU20" i="2"/>
  <c r="AX19" i="2"/>
  <c r="AU19" i="2"/>
  <c r="AX18" i="2"/>
  <c r="AU18" i="2"/>
  <c r="AX17" i="2"/>
  <c r="AU17" i="2"/>
  <c r="AX16" i="2"/>
  <c r="AU16" i="2"/>
  <c r="AX15" i="2"/>
  <c r="AU15" i="2"/>
  <c r="AX14" i="2"/>
  <c r="AU14" i="2"/>
  <c r="AX13" i="2"/>
  <c r="AU13" i="2"/>
  <c r="AX12" i="2"/>
  <c r="AU12" i="2"/>
  <c r="AX11" i="2"/>
  <c r="AV11" i="2" a="1"/>
  <c r="AV11" i="2" s="1"/>
  <c r="AU11" i="2"/>
  <c r="AX10" i="2"/>
  <c r="AU10" i="2"/>
  <c r="AX9" i="2"/>
  <c r="AU9" i="2"/>
  <c r="AX8" i="2"/>
  <c r="AU8" i="2"/>
  <c r="AX7" i="2"/>
  <c r="AU7" i="2"/>
  <c r="AX6" i="2"/>
  <c r="AU6" i="2"/>
  <c r="AX5" i="2"/>
  <c r="AU5" i="2"/>
  <c r="AX4" i="2"/>
  <c r="AU4" i="2"/>
  <c r="AV22" i="2" l="1" a="1"/>
  <c r="AV22" i="2" s="1"/>
  <c r="AV12" i="2" a="1"/>
  <c r="AV12" i="2" s="1"/>
  <c r="AV30" i="2" a="1"/>
  <c r="AV30" i="2" s="1"/>
  <c r="AV39" i="2" a="1"/>
  <c r="AV39" i="2" s="1"/>
  <c r="AW15" i="2" a="1"/>
  <c r="AW15" i="2" s="1"/>
  <c r="AV6" i="2" a="1"/>
  <c r="AV6" i="2" s="1"/>
  <c r="AV9" i="2" a="1"/>
  <c r="AV9" i="2" s="1"/>
  <c r="AW18" i="2" a="1"/>
  <c r="AW18" i="2" s="1"/>
  <c r="AV29" i="2" a="1"/>
  <c r="AV29" i="2" s="1"/>
  <c r="AV33" i="2" a="1"/>
  <c r="AV33" i="2" s="1"/>
  <c r="AV4" i="2" a="1"/>
  <c r="AV4" i="2" s="1"/>
  <c r="AV7" i="2" a="1"/>
  <c r="AV7" i="2" s="1"/>
  <c r="AW10" i="2" a="1"/>
  <c r="AW10" i="2" s="1"/>
  <c r="AW19" i="2" a="1"/>
  <c r="AW19" i="2" s="1"/>
  <c r="AW5" i="2" a="1"/>
  <c r="AW5" i="2" s="1"/>
  <c r="AW7" i="2" a="1"/>
  <c r="AW7" i="2" s="1"/>
  <c r="AW8" i="2" a="1"/>
  <c r="AW8" i="2" s="1"/>
  <c r="AV17" i="2" a="1"/>
  <c r="AV17" i="2" s="1"/>
  <c r="AW28" i="2" a="1"/>
  <c r="AW28" i="2" s="1"/>
  <c r="AV32" i="2" a="1"/>
  <c r="AV32" i="2" s="1"/>
  <c r="AV50" i="2" a="1"/>
  <c r="AV50" i="2" s="1"/>
  <c r="AW62" i="2" a="1"/>
  <c r="AW62" i="2" s="1"/>
  <c r="AV5" i="2" a="1"/>
  <c r="AV5" i="2" s="1"/>
  <c r="AV8" i="2" a="1"/>
  <c r="AV8" i="2" s="1"/>
  <c r="AV14" i="2" a="1"/>
  <c r="AV14" i="2" s="1"/>
  <c r="AW4" i="2" a="1"/>
  <c r="AW4" i="2" s="1"/>
  <c r="AW6" i="2" a="1"/>
  <c r="AW6" i="2" s="1"/>
  <c r="AW16" i="2" a="1"/>
  <c r="AW16" i="2" s="1"/>
  <c r="AW23" i="2" a="1"/>
  <c r="AW23" i="2" s="1"/>
  <c r="AV31" i="2" a="1"/>
  <c r="AV31" i="2" s="1"/>
  <c r="AW55" i="2" a="1"/>
  <c r="AW55" i="2" s="1"/>
  <c r="AV37" i="2" a="1"/>
  <c r="AV37" i="2" s="1"/>
  <c r="AW75" i="2" a="1"/>
  <c r="AW75" i="2" s="1"/>
  <c r="AW53" i="2" a="1"/>
  <c r="AW53" i="2" s="1"/>
  <c r="AV19" i="2" a="1"/>
  <c r="AV19" i="2" s="1"/>
  <c r="AV20" i="2" a="1"/>
  <c r="AV20" i="2" s="1"/>
  <c r="AV21" i="2" a="1"/>
  <c r="AV21" i="2" s="1"/>
  <c r="AW22" i="2" a="1"/>
  <c r="AW22" i="2" s="1"/>
  <c r="AW27" i="2" a="1"/>
  <c r="AW27" i="2" s="1"/>
  <c r="AW29" i="2" a="1"/>
  <c r="AW29" i="2" s="1"/>
  <c r="AV34" i="2" a="1"/>
  <c r="AV34" i="2" s="1"/>
  <c r="AV40" i="2" a="1"/>
  <c r="AV40" i="2" s="1"/>
  <c r="AW44" i="2" a="1"/>
  <c r="AW44" i="2" s="1"/>
  <c r="AT10" i="2"/>
  <c r="AW20" i="2" a="1"/>
  <c r="AW20" i="2" s="1"/>
  <c r="AV25" i="2" a="1"/>
  <c r="AV25" i="2" s="1"/>
  <c r="AV26" i="2" a="1"/>
  <c r="AV26" i="2" s="1"/>
  <c r="AW30" i="2" a="1"/>
  <c r="AW30" i="2" s="1"/>
  <c r="AT30" i="2" s="1"/>
  <c r="AW31" i="2" a="1"/>
  <c r="AW31" i="2" s="1"/>
  <c r="AW36" i="2" a="1"/>
  <c r="AW36" i="2" s="1"/>
  <c r="AW37" i="2" a="1"/>
  <c r="AW37" i="2" s="1"/>
  <c r="AW38" i="2" a="1"/>
  <c r="AW38" i="2" s="1"/>
  <c r="AT38" i="2" s="1"/>
  <c r="AW39" i="2" a="1"/>
  <c r="AW39" i="2" s="1"/>
  <c r="AW43" i="2" a="1"/>
  <c r="AW43" i="2" s="1"/>
  <c r="AV57" i="2" a="1"/>
  <c r="AV57" i="2" s="1"/>
  <c r="AV66" i="2" a="1"/>
  <c r="AV66" i="2" s="1"/>
  <c r="AV73" i="2" a="1"/>
  <c r="AV73" i="2" s="1"/>
  <c r="AW11" i="2" a="1"/>
  <c r="AW11" i="2" s="1"/>
  <c r="AV13" i="2" a="1"/>
  <c r="AV13" i="2" s="1"/>
  <c r="AW14" i="2" a="1"/>
  <c r="AW14" i="2" s="1"/>
  <c r="AT14" i="2" s="1"/>
  <c r="AV15" i="2" a="1"/>
  <c r="AV15" i="2" s="1"/>
  <c r="AV16" i="2" a="1"/>
  <c r="AV16" i="2" s="1"/>
  <c r="AV18" i="2" a="1"/>
  <c r="AV18" i="2" s="1"/>
  <c r="AT18" i="2" s="1"/>
  <c r="AW24" i="2" a="1"/>
  <c r="AW24" i="2" s="1"/>
  <c r="AW25" i="2" a="1"/>
  <c r="AW25" i="2" s="1"/>
  <c r="AW35" i="2" a="1"/>
  <c r="AW35" i="2" s="1"/>
  <c r="AV42" i="2" a="1"/>
  <c r="AV42" i="2" s="1"/>
  <c r="AV46" i="2" a="1"/>
  <c r="AV46" i="2" s="1"/>
  <c r="AT4" i="2"/>
  <c r="AT22" i="2"/>
  <c r="AV41" i="2" a="1"/>
  <c r="AV41" i="2" s="1"/>
  <c r="AW46" i="2" a="1"/>
  <c r="AW46" i="2" s="1"/>
  <c r="AT12" i="2"/>
  <c r="AV48" i="2" a="1"/>
  <c r="AV48" i="2" s="1"/>
  <c r="AW51" i="2" a="1"/>
  <c r="AW51" i="2" s="1"/>
  <c r="AV53" i="2" a="1"/>
  <c r="AV53" i="2" s="1"/>
  <c r="AV55" i="2" a="1"/>
  <c r="AV55" i="2" s="1"/>
  <c r="AW60" i="2" a="1"/>
  <c r="AW60" i="2" s="1"/>
  <c r="AV62" i="2" a="1"/>
  <c r="AV62" i="2" s="1"/>
  <c r="AT62" i="2" s="1"/>
  <c r="AV64" i="2" a="1"/>
  <c r="AV64" i="2" s="1"/>
  <c r="AW69" i="2" a="1"/>
  <c r="AW69" i="2" s="1"/>
  <c r="AW71" i="2" a="1"/>
  <c r="AW71" i="2" s="1"/>
  <c r="AW73" i="2" a="1"/>
  <c r="AW73" i="2" s="1"/>
  <c r="AT73" i="2" s="1"/>
  <c r="AV75" i="2" a="1"/>
  <c r="AV75" i="2" s="1"/>
  <c r="AW9" i="2" a="1"/>
  <c r="AW9" i="2" s="1"/>
  <c r="AW17" i="2" a="1"/>
  <c r="AW17" i="2" s="1"/>
  <c r="AV24" i="2" a="1"/>
  <c r="AV24" i="2" s="1"/>
  <c r="AT24" i="2" s="1"/>
  <c r="AV27" i="2" a="1"/>
  <c r="AV27" i="2" s="1"/>
  <c r="AT27" i="2" s="1"/>
  <c r="AW32" i="2" a="1"/>
  <c r="AW32" i="2" s="1"/>
  <c r="AW41" i="2" a="1"/>
  <c r="AW41" i="2" s="1"/>
  <c r="AW48" i="2" a="1"/>
  <c r="AW48" i="2" s="1"/>
  <c r="AW57" i="2" a="1"/>
  <c r="AW57" i="2" s="1"/>
  <c r="AW64" i="2" a="1"/>
  <c r="AW64" i="2" s="1"/>
  <c r="AV68" i="2" a="1"/>
  <c r="AV68" i="2" s="1"/>
  <c r="AW34" i="2" a="1"/>
  <c r="AW34" i="2" s="1"/>
  <c r="AT34" i="2" s="1"/>
  <c r="AV36" i="2" a="1"/>
  <c r="AV36" i="2" s="1"/>
  <c r="AT36" i="2" s="1"/>
  <c r="AV43" i="2" a="1"/>
  <c r="AV43" i="2" s="1"/>
  <c r="AW50" i="2" a="1"/>
  <c r="AW50" i="2" s="1"/>
  <c r="AV52" i="2" a="1"/>
  <c r="AV52" i="2" s="1"/>
  <c r="AV59" i="2" a="1"/>
  <c r="AV59" i="2" s="1"/>
  <c r="AW66" i="2" a="1"/>
  <c r="AW66" i="2" s="1"/>
  <c r="AW68" i="2" a="1"/>
  <c r="AW68" i="2" s="1"/>
  <c r="AV70" i="2" a="1"/>
  <c r="AV70" i="2" s="1"/>
  <c r="AV72" i="2" a="1"/>
  <c r="AV72" i="2" s="1"/>
  <c r="AV74" i="2" a="1"/>
  <c r="AV74" i="2" s="1"/>
  <c r="AT16" i="2"/>
  <c r="AV45" i="2" a="1"/>
  <c r="AV45" i="2" s="1"/>
  <c r="AV47" i="2" a="1"/>
  <c r="AV47" i="2" s="1"/>
  <c r="AW52" i="2" a="1"/>
  <c r="AW52" i="2" s="1"/>
  <c r="AV54" i="2" a="1"/>
  <c r="AV54" i="2" s="1"/>
  <c r="AV56" i="2" a="1"/>
  <c r="AV56" i="2" s="1"/>
  <c r="AW59" i="2" a="1"/>
  <c r="AW59" i="2" s="1"/>
  <c r="AV61" i="2" a="1"/>
  <c r="AV61" i="2" s="1"/>
  <c r="AV63" i="2" a="1"/>
  <c r="AV63" i="2" s="1"/>
  <c r="AW70" i="2" a="1"/>
  <c r="AW70" i="2" s="1"/>
  <c r="AW72" i="2" a="1"/>
  <c r="AW72" i="2" s="1"/>
  <c r="AV76" i="2" a="1"/>
  <c r="AV76" i="2" s="1"/>
  <c r="AW45" i="2" a="1"/>
  <c r="AW45" i="2" s="1"/>
  <c r="AW47" i="2" a="1"/>
  <c r="AW47" i="2" s="1"/>
  <c r="AV49" i="2" a="1"/>
  <c r="AV49" i="2" s="1"/>
  <c r="AW54" i="2" a="1"/>
  <c r="AW54" i="2" s="1"/>
  <c r="AV58" i="2" a="1"/>
  <c r="AV58" i="2" s="1"/>
  <c r="AW61" i="2" a="1"/>
  <c r="AW61" i="2" s="1"/>
  <c r="AW63" i="2" a="1"/>
  <c r="AW63" i="2" s="1"/>
  <c r="AV65" i="2" a="1"/>
  <c r="AV65" i="2" s="1"/>
  <c r="AW74" i="2" a="1"/>
  <c r="AW74" i="2" s="1"/>
  <c r="AW76" i="2" a="1"/>
  <c r="AW76" i="2" s="1"/>
  <c r="AT5" i="2"/>
  <c r="AW13" i="2" a="1"/>
  <c r="AW13" i="2" s="1"/>
  <c r="AT13" i="2" s="1"/>
  <c r="AW21" i="2" a="1"/>
  <c r="AW21" i="2" s="1"/>
  <c r="AV23" i="2" a="1"/>
  <c r="AV23" i="2" s="1"/>
  <c r="AT23" i="2" s="1"/>
  <c r="AW26" i="2" a="1"/>
  <c r="AW26" i="2" s="1"/>
  <c r="AT26" i="2" s="1"/>
  <c r="AV28" i="2" a="1"/>
  <c r="AV28" i="2" s="1"/>
  <c r="AT28" i="2" s="1"/>
  <c r="AW33" i="2" a="1"/>
  <c r="AW33" i="2" s="1"/>
  <c r="AT33" i="2" s="1"/>
  <c r="AW40" i="2" a="1"/>
  <c r="AW40" i="2" s="1"/>
  <c r="AT40" i="2" s="1"/>
  <c r="AW49" i="2" a="1"/>
  <c r="AW49" i="2" s="1"/>
  <c r="AW56" i="2" a="1"/>
  <c r="AW56" i="2" s="1"/>
  <c r="AW65" i="2" a="1"/>
  <c r="AW65" i="2" s="1"/>
  <c r="AT65" i="2" s="1"/>
  <c r="AV67" i="2" a="1"/>
  <c r="AV67" i="2" s="1"/>
  <c r="AT7" i="2"/>
  <c r="AT15" i="2"/>
  <c r="AV35" i="2" a="1"/>
  <c r="AV35" i="2" s="1"/>
  <c r="AT35" i="2" s="1"/>
  <c r="AW42" i="2" a="1"/>
  <c r="AW42" i="2" s="1"/>
  <c r="AT42" i="2" s="1"/>
  <c r="AV44" i="2" a="1"/>
  <c r="AV44" i="2" s="1"/>
  <c r="AT44" i="2" s="1"/>
  <c r="AV51" i="2" a="1"/>
  <c r="AV51" i="2" s="1"/>
  <c r="AW58" i="2" a="1"/>
  <c r="AW58" i="2" s="1"/>
  <c r="AV60" i="2" a="1"/>
  <c r="AV60" i="2" s="1"/>
  <c r="AT60" i="2" s="1"/>
  <c r="AW67" i="2" a="1"/>
  <c r="AW67" i="2" s="1"/>
  <c r="AV69" i="2" a="1"/>
  <c r="AV69" i="2" s="1"/>
  <c r="AT69" i="2" s="1"/>
  <c r="AV71" i="2" a="1"/>
  <c r="AV71" i="2" s="1"/>
  <c r="AT71" i="2" s="1"/>
  <c r="AT25" i="2"/>
  <c r="AT37" i="2"/>
  <c r="AT39" i="2"/>
  <c r="AT46" i="2"/>
  <c r="AT53" i="2"/>
  <c r="AT55" i="2"/>
  <c r="AT75" i="2"/>
  <c r="AT9" i="2"/>
  <c r="AT17" i="2"/>
  <c r="AT32" i="2"/>
  <c r="AT41" i="2"/>
  <c r="AT57" i="2"/>
  <c r="AT64" i="2"/>
  <c r="AT6" i="2"/>
  <c r="AT11" i="2"/>
  <c r="AT19" i="2"/>
  <c r="AT43" i="2"/>
  <c r="AT59" i="2"/>
  <c r="AT72" i="2"/>
  <c r="AT21" i="2"/>
  <c r="AT49" i="2"/>
  <c r="AT20" i="2" l="1"/>
  <c r="AT70" i="2"/>
  <c r="AT48" i="2"/>
  <c r="AT31" i="2"/>
  <c r="AT8" i="2"/>
  <c r="AT29" i="2"/>
  <c r="AT50" i="2"/>
  <c r="AT51" i="2"/>
  <c r="AT56" i="2"/>
  <c r="AT66" i="2"/>
  <c r="AT67" i="2"/>
  <c r="AT58" i="2"/>
  <c r="AT63" i="2"/>
  <c r="AT61" i="2"/>
  <c r="AT74" i="2"/>
  <c r="AT54" i="2"/>
  <c r="AT68" i="2"/>
  <c r="AT76" i="2"/>
  <c r="AT47" i="2"/>
  <c r="AT45" i="2"/>
  <c r="AT52" i="2"/>
  <c r="D29" i="6" l="1"/>
  <c r="B4" i="8" l="1"/>
  <c r="B4" i="9" l="1"/>
  <c r="B3" i="7"/>
  <c r="F34" i="3"/>
  <c r="J13" i="6" l="1"/>
  <c r="H19" i="4"/>
  <c r="H16" i="4"/>
  <c r="J16" i="4"/>
  <c r="K16" i="4"/>
  <c r="J17" i="4" s="1"/>
  <c r="K17" i="4"/>
  <c r="J18" i="4" s="1"/>
  <c r="K18" i="4"/>
  <c r="J19" i="4" s="1"/>
  <c r="K19" i="4"/>
  <c r="J20" i="4" s="1"/>
  <c r="K20" i="4"/>
  <c r="J21" i="4" s="1"/>
  <c r="K21" i="4"/>
  <c r="K22" i="4"/>
  <c r="K23" i="4"/>
  <c r="K24" i="4"/>
  <c r="K25" i="4"/>
  <c r="K26" i="4"/>
  <c r="K27" i="4"/>
  <c r="E12" i="6"/>
  <c r="G12" i="6"/>
  <c r="F12" i="6"/>
  <c r="G13" i="6"/>
  <c r="E13" i="6"/>
  <c r="O11" i="4" l="1"/>
  <c r="N43" i="3" s="1"/>
  <c r="O12" i="4"/>
  <c r="N44" i="3" s="1"/>
  <c r="O10" i="4"/>
  <c r="N42" i="3" s="1"/>
  <c r="N33" i="3"/>
  <c r="N35" i="3"/>
  <c r="N37" i="3"/>
  <c r="N38" i="3"/>
  <c r="N40" i="3"/>
  <c r="N41" i="3"/>
  <c r="H13" i="4" l="1"/>
  <c r="F13" i="6"/>
  <c r="BH75" i="2" l="1"/>
  <c r="BH74" i="2"/>
  <c r="BH73" i="2"/>
  <c r="AM71" i="2"/>
  <c r="BH72" i="2"/>
  <c r="BH71" i="2"/>
  <c r="BH70" i="2"/>
  <c r="AM70" i="2"/>
  <c r="BH69" i="2"/>
  <c r="AM69" i="2"/>
  <c r="BH68" i="2"/>
  <c r="AM68" i="2"/>
  <c r="BH67" i="2"/>
  <c r="AM67" i="2"/>
  <c r="BH66" i="2"/>
  <c r="AM66" i="2"/>
  <c r="BH65" i="2"/>
  <c r="AM65" i="2"/>
  <c r="BH64" i="2"/>
  <c r="AM64" i="2"/>
  <c r="BH63" i="2"/>
  <c r="AM63" i="2"/>
  <c r="BH62" i="2"/>
  <c r="AM62" i="2"/>
  <c r="BH61" i="2"/>
  <c r="AM61" i="2"/>
  <c r="BH60" i="2"/>
  <c r="AM60" i="2"/>
  <c r="BH59" i="2"/>
  <c r="AM59" i="2"/>
  <c r="BH58" i="2"/>
  <c r="AM58" i="2"/>
  <c r="BH57" i="2"/>
  <c r="AM57" i="2"/>
  <c r="BH56" i="2"/>
  <c r="AM56" i="2"/>
  <c r="BH55" i="2"/>
  <c r="AM55" i="2"/>
  <c r="BH54" i="2"/>
  <c r="AM54" i="2"/>
  <c r="BH53" i="2"/>
  <c r="AM53" i="2"/>
  <c r="BH52" i="2"/>
  <c r="AM52" i="2"/>
  <c r="BH51" i="2"/>
  <c r="AM51" i="2"/>
  <c r="BH50" i="2"/>
  <c r="AM50" i="2"/>
  <c r="BH49" i="2"/>
  <c r="AM49" i="2"/>
  <c r="BH48" i="2"/>
  <c r="AM48" i="2"/>
  <c r="BH47" i="2"/>
  <c r="AM47" i="2"/>
  <c r="BH46" i="2"/>
  <c r="AM46" i="2"/>
  <c r="BH45" i="2"/>
  <c r="AM45" i="2"/>
  <c r="BH44" i="2"/>
  <c r="AM44" i="2"/>
  <c r="BH43" i="2"/>
  <c r="AM43" i="2"/>
  <c r="BH42" i="2"/>
  <c r="AM42" i="2"/>
  <c r="BH41" i="2"/>
  <c r="AM41" i="2"/>
  <c r="BH40" i="2"/>
  <c r="AM40" i="2"/>
  <c r="BH39" i="2"/>
  <c r="AM39" i="2"/>
  <c r="BH38" i="2"/>
  <c r="AM38" i="2"/>
  <c r="BH37" i="2"/>
  <c r="AM37" i="2"/>
  <c r="BH36" i="2"/>
  <c r="AM36" i="2"/>
  <c r="BH35" i="2"/>
  <c r="AM35" i="2"/>
  <c r="BH34" i="2"/>
  <c r="AM34" i="2"/>
  <c r="BH33" i="2"/>
  <c r="AM33" i="2"/>
  <c r="BH32" i="2"/>
  <c r="AM32" i="2"/>
  <c r="BH31" i="2"/>
  <c r="AM31" i="2"/>
  <c r="BH30" i="2"/>
  <c r="AM30" i="2"/>
  <c r="BH29" i="2"/>
  <c r="AM29" i="2"/>
  <c r="BH28" i="2"/>
  <c r="AM28" i="2"/>
  <c r="BH27" i="2"/>
  <c r="AM27" i="2"/>
  <c r="BH26" i="2"/>
  <c r="AM26" i="2"/>
  <c r="BH25" i="2"/>
  <c r="AM25" i="2"/>
  <c r="BH24" i="2"/>
  <c r="AM24" i="2"/>
  <c r="BH23" i="2"/>
  <c r="AM23" i="2"/>
  <c r="BH22" i="2"/>
  <c r="AM22" i="2"/>
  <c r="BH21" i="2"/>
  <c r="AM21" i="2"/>
  <c r="BH20" i="2"/>
  <c r="AM20" i="2"/>
  <c r="BH19" i="2"/>
  <c r="AM19" i="2"/>
  <c r="BH18" i="2"/>
  <c r="AM18" i="2"/>
  <c r="BH17" i="2"/>
  <c r="AM17" i="2"/>
  <c r="BH16" i="2"/>
  <c r="AM16" i="2"/>
  <c r="BH15" i="2"/>
  <c r="AM15" i="2"/>
  <c r="BH14" i="2"/>
  <c r="AM14" i="2"/>
  <c r="BH13" i="2"/>
  <c r="AM13" i="2"/>
  <c r="BH12" i="2"/>
  <c r="AM12" i="2"/>
  <c r="BH11" i="2"/>
  <c r="AM11" i="2"/>
  <c r="BH10" i="2"/>
  <c r="AM10" i="2"/>
  <c r="BH9" i="2"/>
  <c r="AM9" i="2"/>
  <c r="BH8" i="2"/>
  <c r="AM8" i="2"/>
  <c r="BH7" i="2"/>
  <c r="AM7" i="2"/>
  <c r="BH6" i="2"/>
  <c r="AM6" i="2"/>
  <c r="BH5" i="2"/>
  <c r="AM5" i="2"/>
  <c r="BH4" i="2"/>
  <c r="AM4" i="2"/>
  <c r="AV2" i="2" l="1"/>
  <c r="AW2" i="2"/>
  <c r="H7" i="4" l="1"/>
  <c r="C28" i="6" l="1"/>
  <c r="C58" i="6" s="1"/>
  <c r="D59" i="6"/>
  <c r="H50" i="6"/>
  <c r="K25" i="24" l="1"/>
  <c r="K24" i="24"/>
  <c r="K23" i="24"/>
  <c r="K22" i="24"/>
  <c r="K21" i="24"/>
  <c r="K20" i="24"/>
  <c r="K19" i="24"/>
  <c r="K18" i="24"/>
  <c r="K17" i="24"/>
  <c r="K16" i="24"/>
  <c r="K15" i="24"/>
  <c r="K14" i="24"/>
  <c r="K13" i="24"/>
  <c r="K12" i="24"/>
  <c r="K11" i="24"/>
  <c r="K10" i="24"/>
  <c r="K5" i="24" s="1"/>
  <c r="B4" i="24"/>
  <c r="F30" i="5" l="1"/>
  <c r="F29" i="5"/>
  <c r="F28" i="5"/>
  <c r="F27" i="5"/>
  <c r="F26" i="5"/>
  <c r="F25" i="5"/>
  <c r="F24" i="5"/>
  <c r="F23" i="5"/>
  <c r="F22" i="5"/>
  <c r="F21" i="5"/>
  <c r="F20" i="5"/>
  <c r="F19" i="5"/>
  <c r="F18" i="5"/>
  <c r="F17" i="5"/>
  <c r="F16" i="5"/>
  <c r="F15" i="5"/>
  <c r="F14" i="5"/>
  <c r="F13" i="5"/>
  <c r="F12" i="5"/>
  <c r="F11" i="5"/>
  <c r="G50" i="6" l="1"/>
  <c r="H12" i="6" l="1"/>
  <c r="I12" i="3" l="1"/>
  <c r="L14" i="14"/>
  <c r="L15" i="14"/>
  <c r="L16" i="14"/>
  <c r="L17" i="14"/>
  <c r="L18" i="14"/>
  <c r="L19" i="14"/>
  <c r="L20" i="14"/>
  <c r="L21" i="14"/>
  <c r="L22" i="14"/>
  <c r="L23" i="14"/>
  <c r="L24" i="14"/>
  <c r="L25" i="14"/>
  <c r="L26" i="14"/>
  <c r="L27" i="14"/>
  <c r="K11" i="5" l="1"/>
  <c r="K12" i="5"/>
  <c r="K13" i="5"/>
  <c r="K14" i="5"/>
  <c r="K15" i="5"/>
  <c r="K16" i="5"/>
  <c r="K17" i="5"/>
  <c r="K18" i="5"/>
  <c r="K19" i="5"/>
  <c r="K20" i="5"/>
  <c r="K21" i="5"/>
  <c r="K22" i="5"/>
  <c r="K23" i="5"/>
  <c r="K24" i="5"/>
  <c r="K25" i="5"/>
  <c r="K26" i="5"/>
  <c r="K27" i="5"/>
  <c r="K28" i="5"/>
  <c r="K29" i="5"/>
  <c r="K30" i="5"/>
  <c r="K10" i="5"/>
  <c r="L7" i="5" l="1"/>
  <c r="N31" i="3" s="1"/>
  <c r="M29" i="3"/>
  <c r="M28" i="3"/>
  <c r="M27" i="3"/>
  <c r="M26" i="3"/>
  <c r="L30" i="5"/>
  <c r="L29" i="5"/>
  <c r="L28" i="5"/>
  <c r="L27" i="5"/>
  <c r="L26" i="5"/>
  <c r="L25" i="5"/>
  <c r="L24" i="5"/>
  <c r="L23" i="5"/>
  <c r="L22" i="5"/>
  <c r="L21" i="5"/>
  <c r="L20" i="5"/>
  <c r="L19" i="5"/>
  <c r="L18" i="5"/>
  <c r="L17" i="5"/>
  <c r="L16" i="5"/>
  <c r="L15" i="5"/>
  <c r="L14" i="5"/>
  <c r="L13" i="5"/>
  <c r="L12" i="5"/>
  <c r="L11" i="5"/>
  <c r="L10" i="5"/>
  <c r="K11" i="9" l="1"/>
  <c r="K12" i="9"/>
  <c r="K13" i="9"/>
  <c r="K14" i="9"/>
  <c r="K15" i="9"/>
  <c r="K16" i="9"/>
  <c r="K17" i="9"/>
  <c r="K18" i="9"/>
  <c r="K19" i="9"/>
  <c r="K20" i="9"/>
  <c r="K21" i="9"/>
  <c r="K22" i="9"/>
  <c r="K23" i="9"/>
  <c r="K24" i="9"/>
  <c r="K25" i="9"/>
  <c r="K10" i="9"/>
  <c r="K5" i="9"/>
  <c r="N11" i="3" s="1"/>
  <c r="K4" i="8"/>
  <c r="I45" i="3"/>
  <c r="I24" i="3"/>
  <c r="I22" i="3"/>
  <c r="I16" i="3"/>
  <c r="I14" i="3"/>
  <c r="I8" i="3"/>
  <c r="I10" i="3"/>
  <c r="E6" i="2" l="1"/>
  <c r="H8" i="5" l="1"/>
  <c r="H30" i="5"/>
  <c r="G73" i="6" l="1"/>
  <c r="F73" i="6"/>
  <c r="N44" i="6" s="1"/>
  <c r="G72" i="6"/>
  <c r="F72" i="6"/>
  <c r="F71" i="6"/>
  <c r="B66" i="6"/>
  <c r="B67" i="6" s="1"/>
  <c r="B68" i="6" s="1"/>
  <c r="B69" i="6" s="1"/>
  <c r="B70" i="6" s="1"/>
  <c r="B71" i="6" s="1"/>
  <c r="B72" i="6" s="1"/>
  <c r="B73" i="6" s="1"/>
  <c r="B74" i="6" s="1"/>
  <c r="B75" i="6" s="1"/>
  <c r="B76" i="6" s="1"/>
  <c r="B77" i="6" s="1"/>
  <c r="B78" i="6" s="1"/>
  <c r="I72" i="6" l="1"/>
  <c r="I73" i="6"/>
  <c r="F10" i="5"/>
  <c r="L12" i="22" l="1"/>
  <c r="L15" i="22"/>
  <c r="L18" i="22"/>
  <c r="L21" i="22"/>
  <c r="L24" i="22"/>
  <c r="L27" i="22"/>
  <c r="L30" i="22"/>
  <c r="L33" i="22"/>
  <c r="L11" i="22" l="1"/>
  <c r="L5" i="22" s="1"/>
  <c r="N47" i="3" s="1"/>
  <c r="C4" i="22"/>
  <c r="L10" i="22" l="1"/>
  <c r="G31" i="5"/>
  <c r="I7" i="4"/>
  <c r="F70" i="6"/>
  <c r="H7" i="6" l="1"/>
  <c r="J7" i="5"/>
  <c r="I26" i="6"/>
  <c r="A10" i="4"/>
  <c r="A11" i="4"/>
  <c r="H7" i="7" l="1"/>
  <c r="D79" i="6"/>
  <c r="K11" i="18"/>
  <c r="K12" i="18"/>
  <c r="K13" i="18"/>
  <c r="K14" i="18"/>
  <c r="K15" i="18"/>
  <c r="K16" i="18"/>
  <c r="K17" i="18"/>
  <c r="K18" i="18"/>
  <c r="K19" i="18"/>
  <c r="K20" i="18"/>
  <c r="K21" i="18"/>
  <c r="K22" i="18"/>
  <c r="K23" i="18"/>
  <c r="K24" i="18"/>
  <c r="K25" i="18"/>
  <c r="L13" i="19"/>
  <c r="L14" i="19"/>
  <c r="L15" i="19"/>
  <c r="L16" i="19"/>
  <c r="L17" i="19"/>
  <c r="L18" i="19"/>
  <c r="L19" i="19"/>
  <c r="L20" i="19"/>
  <c r="L21" i="19"/>
  <c r="L12" i="19"/>
  <c r="L11" i="19"/>
  <c r="L15" i="21"/>
  <c r="L16" i="21"/>
  <c r="L17" i="21"/>
  <c r="L18" i="21"/>
  <c r="L19" i="21"/>
  <c r="K18" i="17"/>
  <c r="K19" i="17"/>
  <c r="K20" i="17"/>
  <c r="K21" i="17"/>
  <c r="L6" i="19" l="1"/>
  <c r="M46" i="3" s="1"/>
  <c r="L5" i="19"/>
  <c r="N46" i="3" s="1"/>
  <c r="K14" i="17"/>
  <c r="K15" i="17"/>
  <c r="K16" i="17"/>
  <c r="K17" i="17"/>
  <c r="K22" i="17"/>
  <c r="K13" i="8"/>
  <c r="K14" i="8"/>
  <c r="K15" i="8"/>
  <c r="K16" i="8"/>
  <c r="K17" i="8"/>
  <c r="K18" i="8"/>
  <c r="G7" i="11" l="1"/>
  <c r="M10" i="12"/>
  <c r="K28" i="7"/>
  <c r="K27" i="7"/>
  <c r="K26" i="7"/>
  <c r="K25" i="7"/>
  <c r="K24" i="7"/>
  <c r="K23" i="7"/>
  <c r="K22" i="7"/>
  <c r="K21" i="7"/>
  <c r="K20" i="7"/>
  <c r="K19" i="7"/>
  <c r="K18" i="7"/>
  <c r="K17" i="7"/>
  <c r="K16" i="7"/>
  <c r="K15" i="7"/>
  <c r="K14" i="7"/>
  <c r="K9" i="7"/>
  <c r="N14" i="3" s="1"/>
  <c r="K10" i="8"/>
  <c r="F69" i="6"/>
  <c r="F68" i="6"/>
  <c r="F67" i="6"/>
  <c r="F66" i="6"/>
  <c r="G71" i="6"/>
  <c r="G70" i="6"/>
  <c r="G69" i="6"/>
  <c r="G68" i="6"/>
  <c r="K11" i="7" l="1"/>
  <c r="N15" i="3" s="1"/>
  <c r="I68" i="6"/>
  <c r="I71" i="6"/>
  <c r="I70" i="6"/>
  <c r="I69" i="6"/>
  <c r="L14" i="21"/>
  <c r="L13" i="21"/>
  <c r="L12" i="21"/>
  <c r="L11" i="21"/>
  <c r="L10" i="21"/>
  <c r="K13" i="17"/>
  <c r="K12" i="17"/>
  <c r="K11" i="17"/>
  <c r="K10" i="17"/>
  <c r="K5" i="17" s="1"/>
  <c r="N17" i="3" s="1"/>
  <c r="C12" i="21"/>
  <c r="C13" i="21" s="1"/>
  <c r="C14" i="21" s="1"/>
  <c r="C15" i="21" s="1"/>
  <c r="C16" i="21" s="1"/>
  <c r="C17" i="21" s="1"/>
  <c r="C18" i="21" s="1"/>
  <c r="C19" i="21" s="1"/>
  <c r="B11" i="17"/>
  <c r="B12" i="17" s="1"/>
  <c r="B13" i="17" s="1"/>
  <c r="B14" i="17" s="1"/>
  <c r="B15" i="17" s="1"/>
  <c r="B16" i="17" s="1"/>
  <c r="B17" i="17" s="1"/>
  <c r="B18" i="17" s="1"/>
  <c r="B19" i="17" s="1"/>
  <c r="B20" i="17" s="1"/>
  <c r="B21" i="17" s="1"/>
  <c r="B22" i="17" s="1"/>
  <c r="K11" i="8"/>
  <c r="K12" i="8"/>
  <c r="L4" i="21" l="1"/>
  <c r="N48" i="3" s="1"/>
  <c r="L5" i="21"/>
  <c r="H38" i="5"/>
  <c r="N28" i="3" s="1"/>
  <c r="H39" i="5"/>
  <c r="N29" i="3" s="1"/>
  <c r="H37" i="5"/>
  <c r="N27" i="3" s="1"/>
  <c r="H36" i="5"/>
  <c r="N26" i="3" s="1"/>
  <c r="D12" i="6"/>
  <c r="C4" i="21"/>
  <c r="C13" i="19"/>
  <c r="C14" i="19" s="1"/>
  <c r="C15" i="19" s="1"/>
  <c r="C16" i="19" s="1"/>
  <c r="C17" i="19" s="1"/>
  <c r="C18" i="19" s="1"/>
  <c r="C19" i="19" s="1"/>
  <c r="C20" i="19" s="1"/>
  <c r="C12" i="19"/>
  <c r="C4" i="19"/>
  <c r="K10" i="18"/>
  <c r="K5" i="18" s="1"/>
  <c r="N19" i="3" s="1"/>
  <c r="B4" i="18"/>
  <c r="B4" i="17"/>
  <c r="H40" i="5" l="1"/>
  <c r="L11" i="14"/>
  <c r="L10" i="14"/>
  <c r="L9" i="14"/>
  <c r="L12" i="14"/>
  <c r="L13" i="14"/>
  <c r="C3" i="14"/>
  <c r="B4" i="12"/>
  <c r="B4" i="6"/>
  <c r="B4" i="5"/>
  <c r="B4" i="11"/>
  <c r="B4" i="4"/>
  <c r="I12" i="6"/>
  <c r="B13" i="6"/>
  <c r="M18" i="12"/>
  <c r="M17" i="12"/>
  <c r="M16" i="12"/>
  <c r="M15" i="12"/>
  <c r="M14" i="12"/>
  <c r="M13" i="12"/>
  <c r="M12" i="12"/>
  <c r="M11" i="12"/>
  <c r="K18" i="11"/>
  <c r="L18" i="11"/>
  <c r="K19" i="11"/>
  <c r="L19" i="11"/>
  <c r="K20" i="11"/>
  <c r="L20" i="11"/>
  <c r="K21" i="11"/>
  <c r="L21" i="11"/>
  <c r="K22" i="11"/>
  <c r="L22" i="11"/>
  <c r="K23" i="11"/>
  <c r="L23" i="11"/>
  <c r="L24" i="11"/>
  <c r="L13" i="11"/>
  <c r="L14" i="11"/>
  <c r="L15" i="11"/>
  <c r="L16" i="11"/>
  <c r="L17" i="11"/>
  <c r="L12" i="11"/>
  <c r="B13" i="11"/>
  <c r="B14" i="11" s="1"/>
  <c r="B15" i="11" s="1"/>
  <c r="B16" i="11" s="1"/>
  <c r="B17" i="11" s="1"/>
  <c r="B18" i="11" s="1"/>
  <c r="B19" i="11" s="1"/>
  <c r="B20" i="11" s="1"/>
  <c r="B21" i="11" s="1"/>
  <c r="B22" i="11" s="1"/>
  <c r="B23" i="11" s="1"/>
  <c r="K17" i="11"/>
  <c r="K16" i="11"/>
  <c r="K15" i="11"/>
  <c r="K14" i="11"/>
  <c r="K13" i="11"/>
  <c r="K12" i="11"/>
  <c r="L4" i="11" l="1"/>
  <c r="L10" i="11"/>
  <c r="I13" i="6"/>
  <c r="D13" i="6"/>
  <c r="C24" i="11" l="1"/>
  <c r="K24" i="11" s="1"/>
  <c r="K10" i="11" s="1"/>
  <c r="N23" i="3" s="1"/>
  <c r="N24" i="3" s="1"/>
  <c r="H13" i="6"/>
  <c r="N43" i="6"/>
  <c r="N42" i="6"/>
  <c r="N41" i="6"/>
  <c r="N40" i="6"/>
  <c r="N39" i="6"/>
  <c r="N38" i="6"/>
  <c r="N37" i="6" l="1"/>
  <c r="K6" i="9"/>
  <c r="K9" i="8"/>
  <c r="K5" i="8" s="1"/>
  <c r="N8" i="3" s="1"/>
  <c r="G78" i="6"/>
  <c r="G77" i="6"/>
  <c r="G76" i="6"/>
  <c r="G75" i="6"/>
  <c r="G74" i="6"/>
  <c r="G67" i="6"/>
  <c r="G66" i="6"/>
  <c r="H29" i="5"/>
  <c r="H28" i="5"/>
  <c r="H27" i="5"/>
  <c r="H26" i="5"/>
  <c r="H25" i="5"/>
  <c r="H24" i="5"/>
  <c r="H23" i="5"/>
  <c r="H21" i="5"/>
  <c r="H20" i="5"/>
  <c r="H19" i="5"/>
  <c r="H18" i="5"/>
  <c r="H17" i="5"/>
  <c r="Q6" i="5"/>
  <c r="R6" i="5" s="1"/>
  <c r="L64" i="6"/>
  <c r="K73" i="6" s="1"/>
  <c r="M44" i="6" s="1"/>
  <c r="K71" i="6" l="1"/>
  <c r="M42" i="6" s="1"/>
  <c r="K69" i="6"/>
  <c r="K67" i="6"/>
  <c r="M38" i="6" s="1"/>
  <c r="K65" i="6"/>
  <c r="M36" i="6" s="1"/>
  <c r="K72" i="6"/>
  <c r="M43" i="6" s="1"/>
  <c r="K70" i="6"/>
  <c r="M41" i="6" s="1"/>
  <c r="K68" i="6"/>
  <c r="M39" i="6" s="1"/>
  <c r="K66" i="6"/>
  <c r="M37" i="6" s="1"/>
  <c r="H7" i="5"/>
  <c r="H22" i="5" s="1"/>
  <c r="I75" i="6"/>
  <c r="G7" i="4"/>
  <c r="I74" i="6"/>
  <c r="I78" i="6"/>
  <c r="I66" i="6"/>
  <c r="I77" i="6"/>
  <c r="I76" i="6"/>
  <c r="I67" i="6"/>
  <c r="S6" i="5"/>
  <c r="T6" i="5" s="1"/>
  <c r="U6" i="5" s="1"/>
  <c r="L53" i="3" l="1"/>
  <c r="H16" i="5"/>
  <c r="H10" i="5"/>
  <c r="H15" i="5"/>
  <c r="H14" i="5"/>
  <c r="H13" i="5"/>
  <c r="H12" i="5"/>
  <c r="I22" i="6" l="1"/>
  <c r="G49" i="6" l="1"/>
  <c r="F79" i="6"/>
  <c r="H22" i="6" l="1"/>
  <c r="H32" i="6" l="1"/>
  <c r="G65" i="6"/>
  <c r="G79" i="6" s="1"/>
  <c r="G48" i="6"/>
  <c r="L48" i="6" s="1"/>
  <c r="H49" i="6" l="1"/>
  <c r="H48" i="6"/>
  <c r="H46" i="3"/>
  <c r="N36" i="6"/>
  <c r="N45" i="6" s="1"/>
  <c r="F48" i="6" l="1"/>
  <c r="C50" i="6" s="1"/>
  <c r="I65" i="6"/>
  <c r="I79" i="6" s="1"/>
  <c r="D78" i="6"/>
  <c r="D74" i="6"/>
  <c r="D76" i="6"/>
  <c r="D75" i="6"/>
  <c r="D77" i="6"/>
  <c r="H11" i="5" l="1"/>
  <c r="H31" i="5" s="1"/>
  <c r="I7" i="6" l="1"/>
  <c r="I7" i="5"/>
  <c r="H26" i="6" l="1"/>
  <c r="I31" i="5" l="1"/>
  <c r="D66" i="6" l="1"/>
  <c r="E66" i="6" s="1"/>
  <c r="D68" i="6"/>
  <c r="O39" i="6" s="1"/>
  <c r="D72" i="6"/>
  <c r="E72" i="6" s="1"/>
  <c r="D67" i="6"/>
  <c r="E67" i="6" s="1"/>
  <c r="D70" i="6"/>
  <c r="O41" i="6" s="1"/>
  <c r="D65" i="6"/>
  <c r="E65" i="6" s="1"/>
  <c r="D69" i="6"/>
  <c r="E69" i="6" s="1"/>
  <c r="D73" i="6"/>
  <c r="D71" i="6"/>
  <c r="E71" i="6" s="1"/>
  <c r="O37" i="6" l="1"/>
  <c r="E68" i="6"/>
  <c r="E73" i="6"/>
  <c r="O44" i="6"/>
  <c r="E70" i="6"/>
  <c r="O43" i="6"/>
  <c r="O38" i="6"/>
  <c r="O36" i="6"/>
  <c r="O40" i="6"/>
  <c r="O42" i="6"/>
  <c r="J22" i="3"/>
  <c r="J58" i="3" s="1"/>
  <c r="H20" i="3"/>
  <c r="H19" i="3" s="1"/>
  <c r="J19" i="3"/>
  <c r="J57" i="3" s="1"/>
  <c r="L56" i="3" l="1"/>
  <c r="M56" i="3"/>
  <c r="G48" i="2"/>
  <c r="I19" i="3"/>
  <c r="N6" i="3" s="1"/>
  <c r="L57" i="3"/>
  <c r="N56" i="3" l="1"/>
  <c r="K58" i="3" s="1"/>
  <c r="E69" i="2"/>
  <c r="E79" i="2"/>
  <c r="E53" i="2"/>
  <c r="E49" i="2"/>
  <c r="B49" i="2" s="1"/>
  <c r="E74" i="2"/>
  <c r="E68" i="2"/>
  <c r="E67" i="2"/>
  <c r="E91" i="2"/>
  <c r="E116" i="2"/>
  <c r="E96" i="2"/>
  <c r="E100" i="2"/>
  <c r="E89" i="2"/>
  <c r="E102" i="2"/>
  <c r="E88" i="2"/>
  <c r="E103" i="2"/>
  <c r="E73" i="2"/>
  <c r="E94" i="2"/>
  <c r="E61" i="2"/>
  <c r="E72" i="2"/>
  <c r="E101" i="2"/>
  <c r="E50" i="2"/>
  <c r="E113" i="2"/>
  <c r="E117" i="2"/>
  <c r="E64" i="2"/>
  <c r="E87" i="2"/>
  <c r="E59" i="2"/>
  <c r="E95" i="2"/>
  <c r="E70" i="2"/>
  <c r="E75" i="2"/>
  <c r="E76" i="2"/>
  <c r="E106" i="2"/>
  <c r="E92" i="2"/>
  <c r="E83" i="2"/>
  <c r="E54" i="2"/>
  <c r="E90" i="2"/>
  <c r="E85" i="2"/>
  <c r="E119" i="2"/>
  <c r="E109" i="2"/>
  <c r="E107" i="2"/>
  <c r="E71" i="2"/>
  <c r="E112" i="2"/>
  <c r="E78" i="2"/>
  <c r="E86" i="2"/>
  <c r="E63" i="2"/>
  <c r="E57" i="2"/>
  <c r="E77" i="2"/>
  <c r="E104" i="2"/>
  <c r="E60" i="2"/>
  <c r="E80" i="2"/>
  <c r="E55" i="2"/>
  <c r="E118" i="2"/>
  <c r="E82" i="2"/>
  <c r="E52" i="2"/>
  <c r="E58" i="2"/>
  <c r="E115" i="2"/>
  <c r="E62" i="2"/>
  <c r="E81" i="2"/>
  <c r="E56" i="2"/>
  <c r="E120" i="2"/>
  <c r="E98" i="2"/>
  <c r="E114" i="2"/>
  <c r="E111" i="2"/>
  <c r="E65" i="2"/>
  <c r="E99" i="2"/>
  <c r="E105" i="2"/>
  <c r="E84" i="2"/>
  <c r="E121" i="2"/>
  <c r="E97" i="2"/>
  <c r="E51" i="2"/>
  <c r="B51" i="2" s="1"/>
  <c r="E93" i="2"/>
  <c r="E110" i="2"/>
  <c r="E66" i="2"/>
  <c r="E108" i="2"/>
  <c r="L58" i="3"/>
  <c r="B50" i="2" l="1"/>
  <c r="B62" i="2"/>
  <c r="B66" i="2"/>
  <c r="B97" i="2"/>
  <c r="B98" i="2"/>
  <c r="B121" i="2"/>
  <c r="B120" i="2"/>
  <c r="B104" i="2"/>
  <c r="B107" i="2"/>
  <c r="B106" i="2"/>
  <c r="B117" i="2"/>
  <c r="B103" i="2"/>
  <c r="B67" i="2"/>
  <c r="B53" i="2"/>
  <c r="B93" i="2"/>
  <c r="B84" i="2"/>
  <c r="B111" i="2"/>
  <c r="B56" i="2"/>
  <c r="B55" i="2"/>
  <c r="B78" i="2"/>
  <c r="B109" i="2"/>
  <c r="B54" i="2"/>
  <c r="B76" i="2"/>
  <c r="B59" i="2"/>
  <c r="B113" i="2"/>
  <c r="B61" i="2"/>
  <c r="B88" i="2"/>
  <c r="B96" i="2"/>
  <c r="B68" i="2"/>
  <c r="B79" i="2"/>
  <c r="B99" i="2"/>
  <c r="B110" i="2"/>
  <c r="B65" i="2"/>
  <c r="B115" i="2"/>
  <c r="B90" i="2"/>
  <c r="B95" i="2"/>
  <c r="B72" i="2"/>
  <c r="B108" i="2"/>
  <c r="B105" i="2"/>
  <c r="B114" i="2"/>
  <c r="B81" i="2"/>
  <c r="B52" i="2"/>
  <c r="B80" i="2"/>
  <c r="B57" i="2"/>
  <c r="B112" i="2"/>
  <c r="B94" i="2"/>
  <c r="B102" i="2"/>
  <c r="B116" i="2"/>
  <c r="B74" i="2"/>
  <c r="B69" i="2"/>
  <c r="B82" i="2"/>
  <c r="B60" i="2"/>
  <c r="B63" i="2"/>
  <c r="B71" i="2"/>
  <c r="B85" i="2"/>
  <c r="B92" i="2"/>
  <c r="B70" i="2"/>
  <c r="B101" i="2"/>
  <c r="B91" i="2"/>
  <c r="K59" i="3"/>
  <c r="B100" i="2"/>
  <c r="B58" i="2"/>
  <c r="B77" i="2"/>
  <c r="B119" i="2"/>
  <c r="B83" i="2"/>
  <c r="B75" i="2"/>
  <c r="B87" i="2"/>
  <c r="B118" i="2"/>
  <c r="B86" i="2"/>
  <c r="B64" i="2"/>
  <c r="B73" i="2"/>
  <c r="B89" i="2"/>
  <c r="L59" i="3"/>
  <c r="G113" i="2" l="1"/>
  <c r="H71" i="2"/>
  <c r="K60" i="3"/>
  <c r="G54" i="2"/>
  <c r="H56" i="2"/>
  <c r="H49" i="2"/>
  <c r="G88" i="2"/>
  <c r="G98" i="2"/>
  <c r="G52" i="2"/>
  <c r="H54" i="2"/>
  <c r="G110" i="2"/>
  <c r="H50" i="2"/>
  <c r="G83" i="2"/>
  <c r="G49" i="2"/>
  <c r="H91" i="2"/>
  <c r="H58" i="2"/>
  <c r="H97" i="2"/>
  <c r="G108" i="2"/>
  <c r="H95" i="2"/>
  <c r="H75" i="2"/>
  <c r="H60" i="2"/>
  <c r="G50" i="2"/>
  <c r="H55" i="2"/>
  <c r="G55" i="2"/>
  <c r="H52" i="2"/>
  <c r="H61" i="2"/>
  <c r="G101" i="2"/>
  <c r="G91" i="2"/>
  <c r="H106" i="2"/>
  <c r="H64" i="2"/>
  <c r="H72" i="2"/>
  <c r="H51" i="2"/>
  <c r="G60" i="2"/>
  <c r="G79" i="2"/>
  <c r="G120" i="2"/>
  <c r="G85" i="2"/>
  <c r="G64" i="2"/>
  <c r="G51" i="2"/>
  <c r="G99" i="2"/>
  <c r="G73" i="2"/>
  <c r="G102" i="2"/>
  <c r="H82" i="2"/>
  <c r="H110" i="2"/>
  <c r="H73" i="2"/>
  <c r="G75" i="2"/>
  <c r="H69" i="2"/>
  <c r="G62" i="2"/>
  <c r="H87" i="2"/>
  <c r="G121" i="2"/>
  <c r="G78" i="2"/>
  <c r="H94" i="2"/>
  <c r="G111" i="2"/>
  <c r="H101" i="2"/>
  <c r="G100" i="2"/>
  <c r="G81" i="2"/>
  <c r="G59" i="2"/>
  <c r="H86" i="2"/>
  <c r="H96" i="2"/>
  <c r="H65" i="2"/>
  <c r="G86" i="2"/>
  <c r="G87" i="2"/>
  <c r="G93" i="2"/>
  <c r="H118" i="2"/>
  <c r="G103" i="2"/>
  <c r="H109" i="2"/>
  <c r="G66" i="2"/>
  <c r="H117" i="2"/>
  <c r="G80" i="2"/>
  <c r="H70" i="2"/>
  <c r="H76" i="2"/>
  <c r="G117" i="2"/>
  <c r="G77" i="2"/>
  <c r="H62" i="2"/>
  <c r="G95" i="2"/>
  <c r="G74" i="2"/>
  <c r="H57" i="2"/>
  <c r="H79" i="2"/>
  <c r="H77" i="2"/>
  <c r="H108" i="2"/>
  <c r="H121" i="2"/>
  <c r="G109" i="2"/>
  <c r="G84" i="2"/>
  <c r="H53" i="2"/>
  <c r="H115" i="2"/>
  <c r="G89" i="2"/>
  <c r="H93" i="2"/>
  <c r="H84" i="2"/>
  <c r="H111" i="2"/>
  <c r="H68" i="2"/>
  <c r="H103" i="2"/>
  <c r="G118" i="2"/>
  <c r="H85" i="2"/>
  <c r="G90" i="2"/>
  <c r="G68" i="2"/>
  <c r="G116" i="2"/>
  <c r="H80" i="2"/>
  <c r="G58" i="2"/>
  <c r="H89" i="2"/>
  <c r="G72" i="2"/>
  <c r="G106" i="2"/>
  <c r="H102" i="2"/>
  <c r="G92" i="2"/>
  <c r="G76" i="2"/>
  <c r="H116" i="2"/>
  <c r="H83" i="2"/>
  <c r="H107" i="2"/>
  <c r="H98" i="2"/>
  <c r="G69" i="2"/>
  <c r="G115" i="2"/>
  <c r="G70" i="2"/>
  <c r="G104" i="2"/>
  <c r="H67" i="2"/>
  <c r="G119" i="2"/>
  <c r="H78" i="2"/>
  <c r="H81" i="2"/>
  <c r="H114" i="2"/>
  <c r="H99" i="2"/>
  <c r="G105" i="2"/>
  <c r="H90" i="2"/>
  <c r="H105" i="2"/>
  <c r="G65" i="2"/>
  <c r="H112" i="2"/>
  <c r="H119" i="2"/>
  <c r="G57" i="2"/>
  <c r="H59" i="2"/>
  <c r="H74" i="2"/>
  <c r="H113" i="2"/>
  <c r="H92" i="2"/>
  <c r="H100" i="2"/>
  <c r="G56" i="2"/>
  <c r="H63" i="2"/>
  <c r="G82" i="2"/>
  <c r="G94" i="2"/>
  <c r="G71" i="2"/>
  <c r="H104" i="2"/>
  <c r="H66" i="2"/>
  <c r="G63" i="2"/>
  <c r="G61" i="2"/>
  <c r="G96" i="2"/>
  <c r="H88" i="2"/>
  <c r="G53" i="2"/>
  <c r="G67" i="2"/>
  <c r="G112" i="2"/>
  <c r="H120" i="2"/>
  <c r="G107" i="2"/>
  <c r="G114" i="2"/>
  <c r="G97" i="2"/>
  <c r="L60" i="3"/>
  <c r="K61" i="3" l="1"/>
  <c r="G47" i="2"/>
  <c r="L61" i="3"/>
  <c r="K62" i="3" l="1"/>
  <c r="L62" i="3"/>
  <c r="K63" i="3" l="1"/>
  <c r="L63" i="3"/>
  <c r="K64" i="3" l="1"/>
  <c r="L64" i="3"/>
  <c r="K65" i="3" l="1"/>
  <c r="L65" i="3"/>
  <c r="K66" i="3" l="1"/>
  <c r="L66" i="3"/>
  <c r="K67" i="3" l="1"/>
  <c r="L67" i="3"/>
  <c r="K68" i="3" l="1"/>
  <c r="L68" i="3"/>
  <c r="J23" i="3" l="1"/>
  <c r="L22" i="3" s="1"/>
</calcChain>
</file>

<file path=xl/comments1.xml><?xml version="1.0" encoding="utf-8"?>
<comments xmlns="http://schemas.openxmlformats.org/spreadsheetml/2006/main">
  <authors>
    <author>Alex</author>
    <author>Luis Alexander Chirivi</author>
  </authors>
  <commentList>
    <comment ref="L1" authorId="0" shapeId="0">
      <text>
        <r>
          <rPr>
            <b/>
            <sz val="9"/>
            <color indexed="81"/>
            <rFont val="Tahoma"/>
            <family val="2"/>
          </rPr>
          <t>Alex:</t>
        </r>
        <r>
          <rPr>
            <sz val="9"/>
            <color indexed="81"/>
            <rFont val="Tahoma"/>
            <family val="2"/>
          </rPr>
          <t xml:space="preserve">
Id de los proyectos para pasar datos
  </t>
        </r>
      </text>
    </comment>
    <comment ref="AS3" authorId="1" shapeId="0">
      <text>
        <r>
          <rPr>
            <b/>
            <sz val="9"/>
            <color indexed="81"/>
            <rFont val="Tahoma"/>
            <family val="2"/>
          </rPr>
          <t>Luis Alexander Chirivi:</t>
        </r>
        <r>
          <rPr>
            <sz val="9"/>
            <color indexed="81"/>
            <rFont val="Tahoma"/>
            <family val="2"/>
          </rPr>
          <t xml:space="preserve">
Actualizado a 27012017</t>
        </r>
      </text>
    </comment>
    <comment ref="AT3" authorId="1" shapeId="0">
      <text>
        <r>
          <rPr>
            <b/>
            <sz val="9"/>
            <color indexed="81"/>
            <rFont val="Tahoma"/>
            <family val="2"/>
          </rPr>
          <t>ALEX:</t>
        </r>
        <r>
          <rPr>
            <sz val="9"/>
            <color indexed="81"/>
            <rFont val="Tahoma"/>
            <family val="2"/>
          </rPr>
          <t xml:space="preserve">
Referencia de donde se encuentran las líneas de investigación.</t>
        </r>
      </text>
    </comment>
    <comment ref="AP11" authorId="1" shapeId="0">
      <text>
        <r>
          <rPr>
            <b/>
            <sz val="9"/>
            <color indexed="81"/>
            <rFont val="Tahoma"/>
            <family val="2"/>
          </rPr>
          <t>Cambio 06032018:</t>
        </r>
        <r>
          <rPr>
            <sz val="9"/>
            <color indexed="81"/>
            <rFont val="Tahoma"/>
            <family val="2"/>
          </rPr>
          <t xml:space="preserve">
Se ajusto el nombre del grupo que antes era Ictiología.
</t>
        </r>
      </text>
    </comment>
    <comment ref="V12" authorId="1" shapeId="0">
      <text>
        <r>
          <rPr>
            <b/>
            <sz val="9"/>
            <color indexed="81"/>
            <rFont val="Tahoma"/>
            <family val="2"/>
          </rPr>
          <t>Luis Alexander Chirivi:</t>
        </r>
        <r>
          <rPr>
            <sz val="9"/>
            <color indexed="81"/>
            <rFont val="Tahoma"/>
            <family val="2"/>
          </rPr>
          <t xml:space="preserve">
Solo esta habilitado para los proyectos de Alto Impacto</t>
        </r>
      </text>
    </comment>
    <comment ref="V18" authorId="0" shapeId="0">
      <text>
        <r>
          <rPr>
            <b/>
            <sz val="9"/>
            <color indexed="81"/>
            <rFont val="Tahoma"/>
            <family val="2"/>
          </rPr>
          <t>Alex:</t>
        </r>
        <r>
          <rPr>
            <sz val="9"/>
            <color indexed="81"/>
            <rFont val="Tahoma"/>
            <family val="2"/>
          </rPr>
          <t xml:space="preserve">
Ver que otros faltan
Preguntare  inge leo
</t>
        </r>
      </text>
    </comment>
    <comment ref="C82" authorId="1" shapeId="0">
      <text>
        <r>
          <rPr>
            <b/>
            <sz val="9"/>
            <color indexed="81"/>
            <rFont val="Tahoma"/>
            <family val="2"/>
          </rPr>
          <t>Cambio 06032018:</t>
        </r>
        <r>
          <rPr>
            <sz val="9"/>
            <color indexed="81"/>
            <rFont val="Tahoma"/>
            <family val="2"/>
          </rPr>
          <t xml:space="preserve">
Se ajusto el nombre del grupo que antes era Ictiología.
</t>
        </r>
      </text>
    </comment>
  </commentList>
</comments>
</file>

<file path=xl/comments10.xml><?xml version="1.0" encoding="utf-8"?>
<comments xmlns="http://schemas.openxmlformats.org/spreadsheetml/2006/main">
  <authors>
    <author>Alex</author>
    <author>Luis Alexander Chirivi</author>
  </authors>
  <commentList>
    <comment ref="C11" authorId="0" shapeId="0">
      <text>
        <r>
          <rPr>
            <b/>
            <sz val="9"/>
            <color indexed="81"/>
            <rFont val="Tahoma"/>
            <family val="2"/>
          </rPr>
          <t>Alex:</t>
        </r>
        <r>
          <rPr>
            <sz val="9"/>
            <color indexed="81"/>
            <rFont val="Tahoma"/>
            <family val="2"/>
          </rPr>
          <t xml:space="preserve">
Salario base del investigador de planta . Ítems se sumaran a la contrapartida de la Facultad.</t>
        </r>
      </text>
    </comment>
    <comment ref="F11" authorId="0" shapeId="0">
      <text>
        <r>
          <rPr>
            <b/>
            <sz val="11"/>
            <color indexed="81"/>
            <rFont val="Tahoma"/>
            <family val="2"/>
          </rPr>
          <t>Nota:</t>
        </r>
        <r>
          <rPr>
            <sz val="11"/>
            <color indexed="81"/>
            <rFont val="Tahoma"/>
            <family val="2"/>
          </rPr>
          <t xml:space="preserve">
Los datos de Meses de dedicación se deben cargar en Integrantes</t>
        </r>
      </text>
    </comment>
    <comment ref="G11" authorId="0" shapeId="0">
      <text>
        <r>
          <rPr>
            <b/>
            <sz val="11"/>
            <color indexed="81"/>
            <rFont val="Tahoma"/>
            <family val="2"/>
          </rPr>
          <t>Nota:</t>
        </r>
        <r>
          <rPr>
            <sz val="11"/>
            <color indexed="81"/>
            <rFont val="Tahoma"/>
            <family val="2"/>
          </rPr>
          <t xml:space="preserve">
Los datos de Horas Semanales de dedicación a investigación se deben cargar en Integrantes</t>
        </r>
      </text>
    </comment>
    <comment ref="I22" authorId="0" shapeId="0">
      <text>
        <r>
          <rPr>
            <b/>
            <sz val="11"/>
            <color indexed="81"/>
            <rFont val="Tahoma"/>
            <family val="2"/>
          </rPr>
          <t>Dato:</t>
        </r>
        <r>
          <rPr>
            <sz val="11"/>
            <color indexed="81"/>
            <rFont val="Tahoma"/>
            <family val="2"/>
          </rPr>
          <t xml:space="preserve">
Hace referencia  a el numero de investigadores de planta que están número identificación</t>
        </r>
      </text>
    </comment>
    <comment ref="C28" authorId="1" shapeId="0">
      <text>
        <r>
          <rPr>
            <b/>
            <sz val="11"/>
            <color indexed="81"/>
            <rFont val="Tahoma"/>
            <family val="2"/>
          </rPr>
          <t>Título :</t>
        </r>
        <r>
          <rPr>
            <sz val="11"/>
            <color indexed="81"/>
            <rFont val="Tahoma"/>
            <family val="2"/>
          </rPr>
          <t xml:space="preserve">
Por favor ampliar le alto de la fila para que se muestre el título completo.
</t>
        </r>
      </text>
    </comment>
    <comment ref="D31" authorId="0" shapeId="0">
      <text>
        <r>
          <rPr>
            <b/>
            <sz val="12"/>
            <color indexed="81"/>
            <rFont val="Tahoma"/>
            <family val="2"/>
          </rPr>
          <t>Año:</t>
        </r>
        <r>
          <rPr>
            <sz val="12"/>
            <color indexed="81"/>
            <rFont val="Tahoma"/>
            <family val="2"/>
          </rPr>
          <t xml:space="preserve">
Corresponde al año en que se ejecuta el presupuesto 
para proyectos INV o PICs  de solo año 1. 
Para proyectos IMP de año 1 y año 2.</t>
        </r>
      </text>
    </comment>
    <comment ref="E31" authorId="1" shapeId="0">
      <text>
        <r>
          <rPr>
            <b/>
            <sz val="12"/>
            <color indexed="81"/>
            <rFont val="Tahoma"/>
            <family val="2"/>
          </rPr>
          <t xml:space="preserve">Observación: 
</t>
        </r>
        <r>
          <rPr>
            <sz val="12"/>
            <color indexed="81"/>
            <rFont val="Tahoma"/>
            <family val="2"/>
          </rPr>
          <t>Se deben detallar los elementos que se desean adquirir por cada rubro. Se debe utilizar el comando: "Alt+Enter" para incluir más elementos del mismo rubro</t>
        </r>
      </text>
    </comment>
    <comment ref="G31" authorId="0" shapeId="0">
      <text>
        <r>
          <rPr>
            <b/>
            <sz val="11"/>
            <color indexed="81"/>
            <rFont val="Tahoma"/>
            <family val="2"/>
          </rPr>
          <t>Valores:</t>
        </r>
        <r>
          <rPr>
            <sz val="11"/>
            <color indexed="81"/>
            <rFont val="Tahoma"/>
            <family val="2"/>
          </rPr>
          <t xml:space="preserve">
Valor total por elementos asociados al Rubro (poner solo Valor total)
</t>
        </r>
      </text>
    </comment>
    <comment ref="H31" authorId="1" shapeId="0">
      <text>
        <r>
          <rPr>
            <b/>
            <sz val="9"/>
            <color indexed="81"/>
            <rFont val="Tahoma"/>
            <family val="2"/>
          </rPr>
          <t>Facultad:</t>
        </r>
        <r>
          <rPr>
            <sz val="9"/>
            <color indexed="81"/>
            <rFont val="Tahoma"/>
            <family val="2"/>
          </rPr>
          <t xml:space="preserve">
Corresponde a el presupuesto en contrapartida que aporta la facultad </t>
        </r>
      </text>
    </comment>
    <comment ref="C32" authorId="0" shapeId="0">
      <text>
        <r>
          <rPr>
            <b/>
            <sz val="9"/>
            <color indexed="81"/>
            <rFont val="Tahoma"/>
            <family val="2"/>
          </rPr>
          <t>Primer Rubro :</t>
        </r>
        <r>
          <rPr>
            <sz val="9"/>
            <color indexed="81"/>
            <rFont val="Tahoma"/>
            <family val="2"/>
          </rPr>
          <t xml:space="preserve">
Personal no se puede Ajustar depende de el formato en la parte inferior
</t>
        </r>
      </text>
    </comment>
    <comment ref="I32" authorId="0" shapeId="0">
      <text>
        <r>
          <rPr>
            <b/>
            <sz val="12"/>
            <color indexed="81"/>
            <rFont val="Tahoma"/>
            <family val="2"/>
          </rPr>
          <t>Presupuesto Personal Otros :</t>
        </r>
        <r>
          <rPr>
            <sz val="12"/>
            <color indexed="81"/>
            <rFont val="Tahoma"/>
            <family val="2"/>
          </rPr>
          <t xml:space="preserve">
Referente a Recursos suministrados por otra entidad para pago de este concepto</t>
        </r>
      </text>
    </comment>
    <comment ref="M35" authorId="0" shapeId="0">
      <text>
        <r>
          <rPr>
            <b/>
            <sz val="9"/>
            <color indexed="81"/>
            <rFont val="Tahoma"/>
            <family val="2"/>
          </rPr>
          <t>Nota:</t>
        </r>
        <r>
          <rPr>
            <sz val="9"/>
            <color indexed="81"/>
            <rFont val="Tahoma"/>
            <family val="2"/>
          </rPr>
          <t xml:space="preserve">
Cuando el valor es 0% no tienen disponibilidad de presupuesto VICEIN por este rubro.</t>
        </r>
      </text>
    </comment>
    <comment ref="C58" authorId="1" shapeId="0">
      <text>
        <r>
          <rPr>
            <b/>
            <sz val="11"/>
            <color indexed="81"/>
            <rFont val="Tahoma"/>
            <family val="2"/>
          </rPr>
          <t>Título :</t>
        </r>
        <r>
          <rPr>
            <sz val="11"/>
            <color indexed="81"/>
            <rFont val="Tahoma"/>
            <family val="2"/>
          </rPr>
          <t xml:space="preserve">
Por favor ampliar le alto de la fila para que se muestre el título completo.
</t>
        </r>
      </text>
    </comment>
    <comment ref="C64" authorId="0" shapeId="0">
      <text>
        <r>
          <rPr>
            <b/>
            <sz val="9"/>
            <color indexed="81"/>
            <rFont val="Tahoma"/>
            <family val="2"/>
          </rPr>
          <t>Si el porcentaje le aparece en rojo, favor  recalcular y ajustar por que a excedido el límite permitido en este rubro según términos de convocatoria :</t>
        </r>
        <r>
          <rPr>
            <sz val="9"/>
            <color indexed="81"/>
            <rFont val="Tahoma"/>
            <family val="2"/>
          </rPr>
          <t xml:space="preserve">
</t>
        </r>
      </text>
    </comment>
    <comment ref="E79" authorId="0" shapeId="0">
      <text>
        <r>
          <rPr>
            <b/>
            <sz val="12"/>
            <color indexed="81"/>
            <rFont val="Tahoma"/>
            <family val="2"/>
          </rPr>
          <t>Tope Presupuestal :</t>
        </r>
        <r>
          <rPr>
            <sz val="12"/>
            <color indexed="81"/>
            <rFont val="Tahoma"/>
            <family val="2"/>
          </rPr>
          <t xml:space="preserve">
"Valor máximo para solicitar recurso fresco de la Vicerrectoría de investigaciones (VICEIN)
</t>
        </r>
      </text>
    </comment>
    <comment ref="F79" authorId="0" shapeId="0">
      <text>
        <r>
          <rPr>
            <b/>
            <sz val="11"/>
            <color indexed="81"/>
            <rFont val="Tahoma"/>
            <family val="2"/>
          </rPr>
          <t>Caso de valor en Rojo:</t>
        </r>
        <r>
          <rPr>
            <sz val="11"/>
            <color indexed="81"/>
            <rFont val="Tahoma"/>
            <family val="2"/>
          </rPr>
          <t xml:space="preserve">
Es por que excede el presupuesto Vicein Excede el tope máximo por productividad Comprometida</t>
        </r>
      </text>
    </comment>
  </commentList>
</comments>
</file>

<file path=xl/comments11.xml><?xml version="1.0" encoding="utf-8"?>
<comments xmlns="http://schemas.openxmlformats.org/spreadsheetml/2006/main">
  <authors>
    <author>Alex</author>
  </authors>
  <commentList>
    <comment ref="D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12.xml><?xml version="1.0" encoding="utf-8"?>
<comments xmlns="http://schemas.openxmlformats.org/spreadsheetml/2006/main">
  <authors>
    <author>Luis Alexander Chirivi</author>
  </authors>
  <commentList>
    <comment ref="D12" authorId="0" shapeId="0">
      <text>
        <r>
          <rPr>
            <b/>
            <sz val="9"/>
            <color indexed="81"/>
            <rFont val="Tahoma"/>
            <family val="2"/>
          </rPr>
          <t>Si cooresponde :</t>
        </r>
        <r>
          <rPr>
            <sz val="9"/>
            <color indexed="81"/>
            <rFont val="Tahoma"/>
            <family val="2"/>
          </rPr>
          <t xml:space="preserve">
</t>
        </r>
      </text>
    </comment>
  </commentList>
</comments>
</file>

<file path=xl/comments13.xml><?xml version="1.0" encoding="utf-8"?>
<comments xmlns="http://schemas.openxmlformats.org/spreadsheetml/2006/main">
  <authors>
    <author>Alex</author>
  </authors>
  <commentList>
    <comment ref="D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14.xml><?xml version="1.0" encoding="utf-8"?>
<comments xmlns="http://schemas.openxmlformats.org/spreadsheetml/2006/main">
  <authors>
    <author>Luis Alexander Chirivi</author>
  </authors>
  <commentList>
    <comment ref="C7" authorId="0" shapeId="0">
      <text>
        <r>
          <rPr>
            <b/>
            <sz val="12"/>
            <color indexed="81"/>
            <rFont val="Tahoma"/>
            <family val="2"/>
          </rPr>
          <t>Imagenes o Apartes :</t>
        </r>
        <r>
          <rPr>
            <sz val="12"/>
            <color indexed="81"/>
            <rFont val="Tahoma"/>
            <family val="2"/>
          </rPr>
          <t xml:space="preserve">
Para no dañar la estructura del acta de inicio las imágenes se puede pegar en estas hojas nombrandolas en la parte superior ordenadamente.</t>
        </r>
      </text>
    </comment>
  </commentList>
</comments>
</file>

<file path=xl/comments2.xml><?xml version="1.0" encoding="utf-8"?>
<comments xmlns="http://schemas.openxmlformats.org/spreadsheetml/2006/main">
  <authors>
    <author>Luis Alexander Chirivi</author>
    <author>Alex</author>
  </authors>
  <commentList>
    <comment ref="C7" authorId="0" shapeId="0">
      <text>
        <r>
          <rPr>
            <b/>
            <sz val="12"/>
            <color indexed="81"/>
            <rFont val="Tahoma"/>
            <family val="2"/>
          </rPr>
          <t>NOTA:</t>
        </r>
        <r>
          <rPr>
            <sz val="12"/>
            <color indexed="81"/>
            <rFont val="Tahoma"/>
            <family val="2"/>
          </rPr>
          <t xml:space="preserve">
Para el resumen del proyecto no extenderse, definirlo con textos  </t>
        </r>
        <r>
          <rPr>
            <b/>
            <sz val="12"/>
            <color indexed="81"/>
            <rFont val="Tahoma"/>
            <family val="2"/>
          </rPr>
          <t xml:space="preserve">NO Imágenes 
</t>
        </r>
        <r>
          <rPr>
            <sz val="12"/>
            <color indexed="81"/>
            <rFont val="Tahoma"/>
            <family val="2"/>
          </rPr>
          <t xml:space="preserve">Infornación subida a Colciencias ser lo mas explicito posible.
</t>
        </r>
      </text>
    </comment>
    <comment ref="C9" authorId="1" shapeId="0">
      <text>
        <r>
          <rPr>
            <b/>
            <sz val="16"/>
            <color indexed="81"/>
            <rFont val="Tahoma"/>
            <family val="2"/>
          </rPr>
          <t>Nota:</t>
        </r>
        <r>
          <rPr>
            <sz val="16"/>
            <color indexed="81"/>
            <rFont val="Tahoma"/>
            <family val="2"/>
          </rPr>
          <t xml:space="preserve">
En caso de superar los 999 carateres el sistema COPIC los anula.
</t>
        </r>
      </text>
    </comment>
    <comment ref="C10" authorId="1" shapeId="0">
      <text>
        <r>
          <rPr>
            <b/>
            <sz val="16"/>
            <color indexed="81"/>
            <rFont val="Tahoma"/>
            <family val="2"/>
          </rPr>
          <t>Nota:</t>
        </r>
        <r>
          <rPr>
            <sz val="16"/>
            <color indexed="81"/>
            <rFont val="Tahoma"/>
            <family val="2"/>
          </rPr>
          <t xml:space="preserve">
En caso de superar los 999 carateres el sistema COPIC los anula.
</t>
        </r>
      </text>
    </comment>
    <comment ref="C11" authorId="1" shapeId="0">
      <text>
        <r>
          <rPr>
            <b/>
            <sz val="16"/>
            <color indexed="81"/>
            <rFont val="Tahoma"/>
            <family val="2"/>
          </rPr>
          <t>Nota:</t>
        </r>
        <r>
          <rPr>
            <sz val="16"/>
            <color indexed="81"/>
            <rFont val="Tahoma"/>
            <family val="2"/>
          </rPr>
          <t xml:space="preserve">
En caso de superar los 999 carateres el sistema COPIC los anula.
</t>
        </r>
      </text>
    </comment>
    <comment ref="C12" authorId="1" shapeId="0">
      <text>
        <r>
          <rPr>
            <b/>
            <sz val="16"/>
            <color indexed="81"/>
            <rFont val="Tahoma"/>
            <family val="2"/>
          </rPr>
          <t>Nota:</t>
        </r>
        <r>
          <rPr>
            <sz val="16"/>
            <color indexed="81"/>
            <rFont val="Tahoma"/>
            <family val="2"/>
          </rPr>
          <t xml:space="preserve">
En caso de superar los 999 carateres el sistema COPIC los anula.
</t>
        </r>
      </text>
    </comment>
    <comment ref="C13" authorId="1" shapeId="0">
      <text>
        <r>
          <rPr>
            <b/>
            <sz val="16"/>
            <color indexed="81"/>
            <rFont val="Tahoma"/>
            <family val="2"/>
          </rPr>
          <t>Nota:</t>
        </r>
        <r>
          <rPr>
            <sz val="16"/>
            <color indexed="81"/>
            <rFont val="Tahoma"/>
            <family val="2"/>
          </rPr>
          <t xml:space="preserve">
En caso de superar los 999 carateres el sistema COPIC los anula.
</t>
        </r>
      </text>
    </comment>
    <comment ref="C14" authorId="1" shapeId="0">
      <text>
        <r>
          <rPr>
            <b/>
            <sz val="16"/>
            <color indexed="81"/>
            <rFont val="Tahoma"/>
            <family val="2"/>
          </rPr>
          <t>Nota:</t>
        </r>
        <r>
          <rPr>
            <sz val="16"/>
            <color indexed="81"/>
            <rFont val="Tahoma"/>
            <family val="2"/>
          </rPr>
          <t xml:space="preserve">
En caso de superar los 999 carateres el sistema COPIC los anula.
</t>
        </r>
      </text>
    </comment>
    <comment ref="C15" authorId="1" shapeId="0">
      <text>
        <r>
          <rPr>
            <b/>
            <sz val="16"/>
            <color indexed="81"/>
            <rFont val="Tahoma"/>
            <family val="2"/>
          </rPr>
          <t>Nota:</t>
        </r>
        <r>
          <rPr>
            <sz val="16"/>
            <color indexed="81"/>
            <rFont val="Tahoma"/>
            <family val="2"/>
          </rPr>
          <t xml:space="preserve">
En caso de superar los 999 carateres el sistema COPIC los anula.
</t>
        </r>
      </text>
    </comment>
    <comment ref="C16" authorId="1" shapeId="0">
      <text>
        <r>
          <rPr>
            <b/>
            <sz val="16"/>
            <color indexed="81"/>
            <rFont val="Tahoma"/>
            <family val="2"/>
          </rPr>
          <t>Nota:</t>
        </r>
        <r>
          <rPr>
            <sz val="16"/>
            <color indexed="81"/>
            <rFont val="Tahoma"/>
            <family val="2"/>
          </rPr>
          <t xml:space="preserve">
En caso de superar los 999 carateres el sistema COPIC los anula.
</t>
        </r>
      </text>
    </comment>
  </commentList>
</comments>
</file>

<file path=xl/comments3.xml><?xml version="1.0" encoding="utf-8"?>
<comments xmlns="http://schemas.openxmlformats.org/spreadsheetml/2006/main">
  <authors>
    <author>Alex</author>
  </authors>
  <commentList>
    <comment ref="C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4.xml><?xml version="1.0" encoding="utf-8"?>
<comments xmlns="http://schemas.openxmlformats.org/spreadsheetml/2006/main">
  <authors>
    <author>Alex</author>
  </authors>
  <commentList>
    <comment ref="C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5.xml><?xml version="1.0" encoding="utf-8"?>
<comments xmlns="http://schemas.openxmlformats.org/spreadsheetml/2006/main">
  <authors>
    <author>Alex</author>
  </authors>
  <commentList>
    <comment ref="C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6.xml><?xml version="1.0" encoding="utf-8"?>
<comments xmlns="http://schemas.openxmlformats.org/spreadsheetml/2006/main">
  <authors>
    <author>Alex</author>
  </authors>
  <commentList>
    <comment ref="C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7.xml><?xml version="1.0" encoding="utf-8"?>
<comments xmlns="http://schemas.openxmlformats.org/spreadsheetml/2006/main">
  <authors>
    <author>Alex</author>
  </authors>
  <commentList>
    <comment ref="C11" authorId="0" shapeId="0">
      <text>
        <r>
          <rPr>
            <b/>
            <sz val="11"/>
            <color indexed="81"/>
            <rFont val="Tahoma"/>
            <family val="2"/>
          </rPr>
          <t>Notas:</t>
        </r>
        <r>
          <rPr>
            <sz val="11"/>
            <color indexed="81"/>
            <rFont val="Tahoma"/>
            <family val="2"/>
          </rPr>
          <t xml:space="preserve">
No extenderse en la descripción ser lo mas concreto posible.</t>
        </r>
      </text>
    </comment>
    <comment ref="G11" authorId="0" shapeId="0">
      <text>
        <r>
          <rPr>
            <b/>
            <sz val="9"/>
            <color indexed="81"/>
            <rFont val="Tahoma"/>
            <family val="2"/>
          </rPr>
          <t>Notas:</t>
        </r>
        <r>
          <rPr>
            <sz val="9"/>
            <color indexed="81"/>
            <rFont val="Tahoma"/>
            <family val="2"/>
          </rPr>
          <t xml:space="preserve">
El número 0 Cuenta como mes de inicio.</t>
        </r>
      </text>
    </comment>
    <comment ref="L11" authorId="0" shapeId="0">
      <text>
        <r>
          <rPr>
            <b/>
            <sz val="12"/>
            <color indexed="81"/>
            <rFont val="Tahoma"/>
            <family val="2"/>
          </rPr>
          <t>Tener en cuenta:</t>
        </r>
        <r>
          <rPr>
            <sz val="12"/>
            <color indexed="81"/>
            <rFont val="Tahoma"/>
            <family val="2"/>
          </rPr>
          <t xml:space="preserve">
Si maraca </t>
        </r>
        <r>
          <rPr>
            <sz val="12"/>
            <color indexed="10"/>
            <rFont val="Tahoma"/>
            <family val="2"/>
          </rPr>
          <t xml:space="preserve">Rojo </t>
        </r>
        <r>
          <rPr>
            <sz val="12"/>
            <color indexed="81"/>
            <rFont val="Tahoma"/>
            <family val="2"/>
          </rPr>
          <t>esta incumpliendo con el tiempo ejecucion de la convocatoria..</t>
        </r>
      </text>
    </comment>
  </commentList>
</comments>
</file>

<file path=xl/comments8.xml><?xml version="1.0" encoding="utf-8"?>
<comments xmlns="http://schemas.openxmlformats.org/spreadsheetml/2006/main">
  <authors>
    <author>Alex</author>
    <author>Luis Alexander Chirivi</author>
  </authors>
  <commentList>
    <comment ref="B9" authorId="0" shapeId="0">
      <text>
        <r>
          <rPr>
            <b/>
            <sz val="12"/>
            <color indexed="81"/>
            <rFont val="Tahoma"/>
            <family val="2"/>
          </rPr>
          <t>Para Impresión:</t>
        </r>
        <r>
          <rPr>
            <sz val="12"/>
            <color indexed="81"/>
            <rFont val="Tahoma"/>
            <family val="2"/>
          </rPr>
          <t xml:space="preserve">
Si no ocupa todas las  filas con productos amplie el alto de las filas utilizadas y oculte las filas sin utilizar.</t>
        </r>
      </text>
    </comment>
    <comment ref="C9" authorId="0" shapeId="0">
      <text>
        <r>
          <rPr>
            <b/>
            <sz val="12"/>
            <color indexed="81"/>
            <rFont val="Tahoma"/>
            <family val="2"/>
          </rPr>
          <t>Para tener en cuenta:</t>
        </r>
        <r>
          <rPr>
            <sz val="12"/>
            <color indexed="81"/>
            <rFont val="Tahoma"/>
            <family val="2"/>
          </rPr>
          <t xml:space="preserve">
Los productos son definidos en esta columna, no en la descripción. No se pueden ingresar productos intangibles no contemplados en la convocatoria.
En tal caso dirigirse a la Vicerrectoria de investigaciones para confirmar</t>
        </r>
      </text>
    </comment>
    <comment ref="F9" authorId="0" shapeId="0">
      <text>
        <r>
          <rPr>
            <b/>
            <sz val="11"/>
            <color indexed="81"/>
            <rFont val="Tahoma"/>
            <family val="2"/>
          </rPr>
          <t>Recomendacion (Indicador) :</t>
        </r>
        <r>
          <rPr>
            <sz val="11"/>
            <color indexed="81"/>
            <rFont val="Tahoma"/>
            <family val="2"/>
          </rPr>
          <t xml:space="preserve">
Esta columna se refiere al estado final con el que reportan el producto, 
Caso Ejemplo  Articulo, Cap Libro y Libro :
(Sometimiento, Aceptación o Publicación)
debe ser sustentado por un documento administrativo o soporte evidenciable y verificable.</t>
        </r>
      </text>
    </comment>
    <comment ref="G9" authorId="1" shapeId="0">
      <text>
        <r>
          <rPr>
            <b/>
            <sz val="12"/>
            <color indexed="81"/>
            <rFont val="Tahoma"/>
            <family val="2"/>
          </rPr>
          <t>Nota:</t>
        </r>
        <r>
          <rPr>
            <sz val="12"/>
            <color indexed="81"/>
            <rFont val="Tahoma"/>
            <family val="2"/>
          </rPr>
          <t xml:space="preserve">
Se debe poner en cantidad por lo menos el numero 1  para que el producto cuente.</t>
        </r>
      </text>
    </comment>
    <comment ref="I31" authorId="1" shapeId="0">
      <text>
        <r>
          <rPr>
            <b/>
            <sz val="12"/>
            <color indexed="81"/>
            <rFont val="Tahoma"/>
            <family val="2"/>
          </rPr>
          <t>Valor financiable:</t>
        </r>
        <r>
          <rPr>
            <sz val="12"/>
            <color indexed="81"/>
            <rFont val="Tahoma"/>
            <family val="2"/>
          </rPr>
          <t xml:space="preserve">
Por el total de puntos se puede acceder a  este presupuesto total general.</t>
        </r>
      </text>
    </comment>
  </commentList>
</comments>
</file>

<file path=xl/comments9.xml><?xml version="1.0" encoding="utf-8"?>
<comments xmlns="http://schemas.openxmlformats.org/spreadsheetml/2006/main">
  <authors>
    <author>Alex</author>
  </authors>
  <commentList>
    <comment ref="C7" authorId="0" shapeId="0">
      <text>
        <r>
          <rPr>
            <b/>
            <sz val="14"/>
            <color indexed="81"/>
            <rFont val="Tahoma"/>
            <family val="2"/>
          </rPr>
          <t>Observación:</t>
        </r>
        <r>
          <rPr>
            <sz val="14"/>
            <color indexed="81"/>
            <rFont val="Tahoma"/>
            <family val="2"/>
          </rPr>
          <t xml:space="preserve">
El nivel Académico seleccionado deber estar teminado y titulado.</t>
        </r>
      </text>
    </comment>
    <comment ref="H9" authorId="0" shapeId="0">
      <text>
        <r>
          <rPr>
            <b/>
            <sz val="12"/>
            <color indexed="81"/>
            <rFont val="Tahoma"/>
            <family val="2"/>
          </rPr>
          <t xml:space="preserve">Mes :
</t>
        </r>
        <r>
          <rPr>
            <sz val="12"/>
            <color indexed="81"/>
            <rFont val="Tahoma"/>
            <family val="2"/>
          </rPr>
          <t xml:space="preserve">Digitar Número de Meses de dedicación al proyecto.
Deben poner primero los </t>
        </r>
        <r>
          <rPr>
            <b/>
            <u/>
            <sz val="12"/>
            <color indexed="81"/>
            <rFont val="Tahoma"/>
            <family val="2"/>
          </rPr>
          <t>productos</t>
        </r>
        <r>
          <rPr>
            <sz val="12"/>
            <color indexed="81"/>
            <rFont val="Tahoma"/>
            <family val="2"/>
          </rPr>
          <t xml:space="preserve">  para validacion (</t>
        </r>
        <r>
          <rPr>
            <u/>
            <sz val="12"/>
            <color indexed="81"/>
            <rFont val="Tahoma"/>
            <family val="2"/>
          </rPr>
          <t>Rango de Puntos / tiempo maximo</t>
        </r>
        <r>
          <rPr>
            <sz val="12"/>
            <color indexed="81"/>
            <rFont val="Tahoma"/>
            <family val="2"/>
          </rPr>
          <t xml:space="preserve">) sin esta información se dara en el limite de tiempo el menor rango (5 meses)
</t>
        </r>
      </text>
    </comment>
    <comment ref="I9" authorId="0" shapeId="0">
      <text>
        <r>
          <rPr>
            <b/>
            <sz val="12"/>
            <color indexed="81"/>
            <rFont val="Tahoma"/>
            <family val="2"/>
          </rPr>
          <t>Horas:</t>
        </r>
        <r>
          <rPr>
            <sz val="12"/>
            <color indexed="81"/>
            <rFont val="Tahoma"/>
            <family val="2"/>
          </rPr>
          <t xml:space="preserve">
Número de horas semanales de dedicación al proyecto, según términos de referencia de la convocatoria.
Deben poner primero los </t>
        </r>
        <r>
          <rPr>
            <b/>
            <u/>
            <sz val="12"/>
            <color indexed="81"/>
            <rFont val="Tahoma"/>
            <family val="2"/>
          </rPr>
          <t>productos</t>
        </r>
        <r>
          <rPr>
            <sz val="12"/>
            <color indexed="81"/>
            <rFont val="Tahoma"/>
            <family val="2"/>
          </rPr>
          <t xml:space="preserve">  para validacion (</t>
        </r>
        <r>
          <rPr>
            <u/>
            <sz val="12"/>
            <color indexed="81"/>
            <rFont val="Tahoma"/>
            <family val="2"/>
          </rPr>
          <t>Rango de Puntos / tiempo maximo</t>
        </r>
        <r>
          <rPr>
            <sz val="12"/>
            <color indexed="81"/>
            <rFont val="Tahoma"/>
            <family val="2"/>
          </rPr>
          <t>) sin esta información se dara en el limite de tiempo el menor rango (1hora)</t>
        </r>
      </text>
    </comment>
  </commentList>
</comments>
</file>

<file path=xl/sharedStrings.xml><?xml version="1.0" encoding="utf-8"?>
<sst xmlns="http://schemas.openxmlformats.org/spreadsheetml/2006/main" count="2100" uniqueCount="1121">
  <si>
    <t xml:space="preserve">No </t>
  </si>
  <si>
    <t>Min Pts</t>
  </si>
  <si>
    <t>Max Pts</t>
  </si>
  <si>
    <t>Valor en Millones</t>
  </si>
  <si>
    <t>Abreviatura</t>
  </si>
  <si>
    <t>Tipo de Entidad</t>
  </si>
  <si>
    <t>Convocatoria</t>
  </si>
  <si>
    <t>IDPRY</t>
  </si>
  <si>
    <t>Tipo de Proyecto:</t>
  </si>
  <si>
    <t xml:space="preserve">Tipos de Productos </t>
  </si>
  <si>
    <t>Facultad</t>
  </si>
  <si>
    <t>Nivel Estudios</t>
  </si>
  <si>
    <t>Vinculo con la UMNG</t>
  </si>
  <si>
    <t>FuncionProyecto</t>
  </si>
  <si>
    <t>Tipo De Impacto</t>
  </si>
  <si>
    <t>Articulo Q1</t>
  </si>
  <si>
    <t>PIC</t>
  </si>
  <si>
    <t>Investigación Básica</t>
  </si>
  <si>
    <t xml:space="preserve">Generación </t>
  </si>
  <si>
    <t>Investigador Principal</t>
  </si>
  <si>
    <t>Ambiental</t>
  </si>
  <si>
    <t>Articulo Q2</t>
  </si>
  <si>
    <t>B</t>
  </si>
  <si>
    <t>IMP</t>
  </si>
  <si>
    <t>Investigación Aplicada</t>
  </si>
  <si>
    <t>Fortalecimiento</t>
  </si>
  <si>
    <t>Derecho</t>
  </si>
  <si>
    <t xml:space="preserve">Técnico </t>
  </si>
  <si>
    <t>Estudiante</t>
  </si>
  <si>
    <t xml:space="preserve">Coinvestigador </t>
  </si>
  <si>
    <t>Competividad</t>
  </si>
  <si>
    <t>Articulo A1</t>
  </si>
  <si>
    <t>C</t>
  </si>
  <si>
    <t>INV</t>
  </si>
  <si>
    <t xml:space="preserve">Desarrollo Tecnológico o Experimental
</t>
  </si>
  <si>
    <t>Apropiacion</t>
  </si>
  <si>
    <t>Pregrado</t>
  </si>
  <si>
    <t>Asistente</t>
  </si>
  <si>
    <t>Económico</t>
  </si>
  <si>
    <t>CATCH</t>
  </si>
  <si>
    <t>Articulo A2</t>
  </si>
  <si>
    <t>D</t>
  </si>
  <si>
    <t>Innovación</t>
  </si>
  <si>
    <t>INO</t>
  </si>
  <si>
    <t>No Aplica</t>
  </si>
  <si>
    <t>Posgrado</t>
  </si>
  <si>
    <t>Productividad</t>
  </si>
  <si>
    <t>Articulo B</t>
  </si>
  <si>
    <t>Reconocido</t>
  </si>
  <si>
    <t>EMP</t>
  </si>
  <si>
    <t>Tecnólogia</t>
  </si>
  <si>
    <t>Social</t>
  </si>
  <si>
    <t>Articulo C</t>
  </si>
  <si>
    <t>PRO</t>
  </si>
  <si>
    <t xml:space="preserve">Ingeniería </t>
  </si>
  <si>
    <t>Especialización</t>
  </si>
  <si>
    <t>Institucional</t>
  </si>
  <si>
    <t>Fitoplasmas y Virus</t>
  </si>
  <si>
    <t>Libro Completo</t>
  </si>
  <si>
    <t>Maestria</t>
  </si>
  <si>
    <t>No aplica</t>
  </si>
  <si>
    <t>Areas de Salud</t>
  </si>
  <si>
    <t>Grupo de investigación en Biodiversidad y ecología de abejas silvestres</t>
  </si>
  <si>
    <t>Cap. de Libro</t>
  </si>
  <si>
    <t>Doctorado</t>
  </si>
  <si>
    <t xml:space="preserve">Innovacion </t>
  </si>
  <si>
    <t>COL0049659</t>
  </si>
  <si>
    <t>Patentes</t>
  </si>
  <si>
    <t xml:space="preserve">Científico </t>
  </si>
  <si>
    <t>BONE</t>
  </si>
  <si>
    <t>Software</t>
  </si>
  <si>
    <t>Tecnológico</t>
  </si>
  <si>
    <t>LIDERAZGO</t>
  </si>
  <si>
    <t>Prototipo</t>
  </si>
  <si>
    <t>Académico</t>
  </si>
  <si>
    <t>GEOTECNIA</t>
  </si>
  <si>
    <t>Empresa</t>
  </si>
  <si>
    <t>Otros</t>
  </si>
  <si>
    <t>OVA</t>
  </si>
  <si>
    <t xml:space="preserve">Tutor </t>
  </si>
  <si>
    <t>MATRIX</t>
  </si>
  <si>
    <t>AVA</t>
  </si>
  <si>
    <t>COL0062704</t>
  </si>
  <si>
    <t>Dir. Doctorado</t>
  </si>
  <si>
    <t>Modelos de simulación ICDIST</t>
  </si>
  <si>
    <t>Dir. Maestria</t>
  </si>
  <si>
    <t>Innovador Principal</t>
  </si>
  <si>
    <t>Dir. Trab. Grado</t>
  </si>
  <si>
    <t>Coinnovador</t>
  </si>
  <si>
    <t>COL0028687</t>
  </si>
  <si>
    <t>Fitoplasmas</t>
  </si>
  <si>
    <t>Dir. PIC</t>
  </si>
  <si>
    <t>VOLTA - GMCDP</t>
  </si>
  <si>
    <t>Cond. Doctorado</t>
  </si>
  <si>
    <t xml:space="preserve">Emprendedor Principal </t>
  </si>
  <si>
    <t>Grupo de Estudios Macroeconómicos</t>
  </si>
  <si>
    <t>Cond. Maestria</t>
  </si>
  <si>
    <t>Coemprendedor</t>
  </si>
  <si>
    <t>Ponencia Inter.</t>
  </si>
  <si>
    <t>COL0031959</t>
  </si>
  <si>
    <t>Ecología de la polinización: estudios del uso sostenible de especies de abejas silvestres como polinizadores de hortalizas y frutales</t>
  </si>
  <si>
    <t>Salud y Comportamiento</t>
  </si>
  <si>
    <t>Ponencia Nac.</t>
  </si>
  <si>
    <t>Ponencia Insti.</t>
  </si>
  <si>
    <t>COL0044859</t>
  </si>
  <si>
    <t>Visualización y Computación Gráfica</t>
  </si>
  <si>
    <t>Estudios Internacionales y Políticos</t>
  </si>
  <si>
    <t>Mat. Divulgativo</t>
  </si>
  <si>
    <t>Procesamiento digital de imágenes y Visión por computador</t>
  </si>
  <si>
    <t>Org. Evento Inter.</t>
  </si>
  <si>
    <t>HUMANITAS</t>
  </si>
  <si>
    <t>Org. Evento Nac.</t>
  </si>
  <si>
    <t>Org. Evento Isnti.</t>
  </si>
  <si>
    <t>Premios Inter.</t>
  </si>
  <si>
    <t>Premios Nac.</t>
  </si>
  <si>
    <t>COL0047762</t>
  </si>
  <si>
    <t>GIDAM</t>
  </si>
  <si>
    <t>Proyecto Coop. Nac.</t>
  </si>
  <si>
    <t>DAVINCI</t>
  </si>
  <si>
    <t>Proyecto Coop. Inter.</t>
  </si>
  <si>
    <t>Informe final Proy.</t>
  </si>
  <si>
    <t>COL0015722</t>
  </si>
  <si>
    <t>Informe estudiante</t>
  </si>
  <si>
    <t>Cartilla</t>
  </si>
  <si>
    <t>COL0005439</t>
  </si>
  <si>
    <t>PIREO "Procesos de Integración, Regionalización y Estructuras Organizacionales"</t>
  </si>
  <si>
    <t>COL0028918</t>
  </si>
  <si>
    <t>Agrobiología de especies vegetales promisorias de clima frío</t>
  </si>
  <si>
    <t>Grupo Integrado de Investigaciones en Química y Biología (InQuiBio)</t>
  </si>
  <si>
    <t>Tratamiento de agua</t>
  </si>
  <si>
    <t>BioethicsGroup</t>
  </si>
  <si>
    <t>Sociedad, Estrategia y Seguridad</t>
  </si>
  <si>
    <t>GAV</t>
  </si>
  <si>
    <t>Insight</t>
  </si>
  <si>
    <t>ACCEDER</t>
  </si>
  <si>
    <t>COL0039321</t>
  </si>
  <si>
    <t>COL0050294</t>
  </si>
  <si>
    <t>Gestión Ambiental</t>
  </si>
  <si>
    <t>INCONDIS</t>
  </si>
  <si>
    <t>LA TRAMOYA</t>
  </si>
  <si>
    <t>COL0069296</t>
  </si>
  <si>
    <t>COL0052181</t>
  </si>
  <si>
    <t>Gestión hospitalaria</t>
  </si>
  <si>
    <t>Células Stem Adultas</t>
  </si>
  <si>
    <t>COL0065804</t>
  </si>
  <si>
    <t>Energías Renovables</t>
  </si>
  <si>
    <t>COL0027367</t>
  </si>
  <si>
    <t>Grupo de Derecho Privado</t>
  </si>
  <si>
    <t>COL0032278</t>
  </si>
  <si>
    <t>Grupo de Investigacion en Urologia HMC</t>
  </si>
  <si>
    <t>INAMPE</t>
  </si>
  <si>
    <t>COL0033239</t>
  </si>
  <si>
    <t>Prevención de la enfermedad y promoción de la salud</t>
  </si>
  <si>
    <t>Salud Sexual y Reproductiva</t>
  </si>
  <si>
    <t>COL0018448</t>
  </si>
  <si>
    <t>COL0066768</t>
  </si>
  <si>
    <t>COL0067504</t>
  </si>
  <si>
    <t>Mercadeo Cuántico</t>
  </si>
  <si>
    <t>COL0101099</t>
  </si>
  <si>
    <t>COL0013719</t>
  </si>
  <si>
    <t>Biología y Epidemiología de hongos patógenos humanos.</t>
  </si>
  <si>
    <t>Diversidad, Ecología y Bioprospección</t>
  </si>
  <si>
    <t>Fitopatología</t>
  </si>
  <si>
    <t>Genómica y bioinformática</t>
  </si>
  <si>
    <t>Susceptibilidad a Antifungícos</t>
  </si>
  <si>
    <t>COL0049999</t>
  </si>
  <si>
    <t>Tecnología</t>
  </si>
  <si>
    <t>COL0086179</t>
  </si>
  <si>
    <t>Búsqueda de marcadores genéticos y estudio de genes ligados a la resistencia a Fusarium en clavel.</t>
  </si>
  <si>
    <t>Estudio de la biología del mildeo velloso de la Rosa comercial.</t>
  </si>
  <si>
    <t>COL0116636</t>
  </si>
  <si>
    <t>Robótica</t>
  </si>
  <si>
    <t>COL0036025</t>
  </si>
  <si>
    <t>Materiales</t>
  </si>
  <si>
    <t>COL0038084</t>
  </si>
  <si>
    <t>COL0016999</t>
  </si>
  <si>
    <t>Elementos de concreto y de mampostería</t>
  </si>
  <si>
    <t>Modelación Matemática</t>
  </si>
  <si>
    <t>Vulnerabilidad Sísmica</t>
  </si>
  <si>
    <t>COL0047566</t>
  </si>
  <si>
    <t>COL0002896</t>
  </si>
  <si>
    <t>Educación y cultura</t>
  </si>
  <si>
    <t>Educación y Sociedad</t>
  </si>
  <si>
    <t>COL0066229</t>
  </si>
  <si>
    <t>COL0028767</t>
  </si>
  <si>
    <t>COL0048492</t>
  </si>
  <si>
    <t>Estudios morfológicos, nutricionales, ontogénicos y de cultivo de organismos acuáticos de interés comercial.</t>
  </si>
  <si>
    <t>COL0077814</t>
  </si>
  <si>
    <t>COL0077707</t>
  </si>
  <si>
    <t>Búsqueda Biodirigida y Síntesis de Sustancias Bioactivas</t>
  </si>
  <si>
    <t>Biodiversidad y Conservación</t>
  </si>
  <si>
    <t>COL0110436</t>
  </si>
  <si>
    <t>COL0026486</t>
  </si>
  <si>
    <t>Procesos de oxidación avanzada</t>
  </si>
  <si>
    <t>COL0031824</t>
  </si>
  <si>
    <t>Bioética, educación y cultura</t>
  </si>
  <si>
    <t>COL0052163</t>
  </si>
  <si>
    <t>Seguridad Informática</t>
  </si>
  <si>
    <t>Sistemas de comunicaciones</t>
  </si>
  <si>
    <t>Sistemas bioinspirados</t>
  </si>
  <si>
    <t>COL0066669</t>
  </si>
  <si>
    <t>Estrategia y Seguridad</t>
  </si>
  <si>
    <t>Seguridad Física</t>
  </si>
  <si>
    <t>COL0068762</t>
  </si>
  <si>
    <t>Ingeniería Sostenible</t>
  </si>
  <si>
    <t>COL0067371</t>
  </si>
  <si>
    <t>Accesibilidad</t>
  </si>
  <si>
    <t>COL0110329</t>
  </si>
  <si>
    <t>COL0117052</t>
  </si>
  <si>
    <t>Energía</t>
  </si>
  <si>
    <t>COL0045848</t>
  </si>
  <si>
    <t>Epidemiología Clínica de Diabetes e Insulino resistencia</t>
  </si>
  <si>
    <t>Genética de diabetes mellitus e insulino resistencia</t>
  </si>
  <si>
    <t>Prevención Cardiovascular</t>
  </si>
  <si>
    <t>COL0114201</t>
  </si>
  <si>
    <t>COL0125107</t>
  </si>
  <si>
    <t>Bioetica, Bioderecho, Biomedicina y Biotecnologia</t>
  </si>
  <si>
    <t>Células Madre &amp; Medicina Regenerativa</t>
  </si>
  <si>
    <t>Medicina Transfusional y Cuidado Crítico</t>
  </si>
  <si>
    <t>COL0050982</t>
  </si>
  <si>
    <t>Expansión de Células Stem</t>
  </si>
  <si>
    <t>COL0129689</t>
  </si>
  <si>
    <t>COL0125134</t>
  </si>
  <si>
    <t>Base de cráneo</t>
  </si>
  <si>
    <t>Enfermedad de Meniere</t>
  </si>
  <si>
    <t>Oído Crónico</t>
  </si>
  <si>
    <t>Rinosinusitis Crónica</t>
  </si>
  <si>
    <t>COL0107771</t>
  </si>
  <si>
    <t>COL0116439</t>
  </si>
  <si>
    <t>Leishmaniasis</t>
  </si>
  <si>
    <t>Psoriasis</t>
  </si>
  <si>
    <t>COL0126015</t>
  </si>
  <si>
    <t>COL0138796</t>
  </si>
  <si>
    <t>COL0128047</t>
  </si>
  <si>
    <t>Derecho económico y de los negocios.</t>
  </si>
  <si>
    <t>COL0116538</t>
  </si>
  <si>
    <t>Andrologia y Salud sexual</t>
  </si>
  <si>
    <t>Hiperplasia Prostatica</t>
  </si>
  <si>
    <t>Incontinencia Urinaria</t>
  </si>
  <si>
    <t>Litiasis y endourologia</t>
  </si>
  <si>
    <t>Oncologia Urologica</t>
  </si>
  <si>
    <t>Urologia Pediatrica</t>
  </si>
  <si>
    <t>Política Económica</t>
  </si>
  <si>
    <t>Código :</t>
  </si>
  <si>
    <t>Radicado :</t>
  </si>
  <si>
    <t>1.</t>
  </si>
  <si>
    <t>INFORMACION GENERAL DEL PROYECTO:</t>
  </si>
  <si>
    <t>Facultad  :</t>
  </si>
  <si>
    <t>Título</t>
  </si>
  <si>
    <t>2.</t>
  </si>
  <si>
    <t xml:space="preserve">Dirección: </t>
  </si>
  <si>
    <t xml:space="preserve">Teléfonos: </t>
  </si>
  <si>
    <t xml:space="preserve">Fax: </t>
  </si>
  <si>
    <t xml:space="preserve">Ciudad: </t>
  </si>
  <si>
    <t>E-mail:</t>
  </si>
  <si>
    <t>3.</t>
  </si>
  <si>
    <t>Nombre del Grupo de Investigación:</t>
  </si>
  <si>
    <t>Reconocido:</t>
  </si>
  <si>
    <t>Si</t>
  </si>
  <si>
    <t xml:space="preserve">Clasificación: </t>
  </si>
  <si>
    <t xml:space="preserve">Línea de investigación: </t>
  </si>
  <si>
    <t>No</t>
  </si>
  <si>
    <t>Detalles de ejecución de proyecto</t>
  </si>
  <si>
    <t>Duración del Proyecto (en meses):</t>
  </si>
  <si>
    <t>Imformacion de Integrantes del Proyecto</t>
  </si>
  <si>
    <t>Identificacion</t>
  </si>
  <si>
    <t>Nombres</t>
  </si>
  <si>
    <t>Apellidos</t>
  </si>
  <si>
    <t>Mes</t>
  </si>
  <si>
    <t>Horas</t>
  </si>
  <si>
    <t>Nivel Academico-&gt;</t>
  </si>
  <si>
    <t>Función -&gt;</t>
  </si>
  <si>
    <t xml:space="preserve">Puntajes Asociados </t>
  </si>
  <si>
    <t>Resultado/Producto esperado</t>
  </si>
  <si>
    <t>Descripción</t>
  </si>
  <si>
    <t>Indicador</t>
  </si>
  <si>
    <t>IdClase</t>
  </si>
  <si>
    <t xml:space="preserve">Clase </t>
  </si>
  <si>
    <t>Tipo de Productos</t>
  </si>
  <si>
    <t>GNC</t>
  </si>
  <si>
    <t xml:space="preserve">Productos de Generación de Nuevo Conocimiento (GNC) </t>
  </si>
  <si>
    <t xml:space="preserve">En Cuartil 1 (Q1) de Scimago </t>
  </si>
  <si>
    <t xml:space="preserve">En Cuartil 2 (Q2) de Scimago </t>
  </si>
  <si>
    <t>En A1  de  Publindex</t>
  </si>
  <si>
    <t>En A2  de  Publindex</t>
  </si>
  <si>
    <t>En B  de  Publindex</t>
  </si>
  <si>
    <t>En C  de  Publindex</t>
  </si>
  <si>
    <t xml:space="preserve">Libro de Investigación </t>
  </si>
  <si>
    <t>Capítulo de Libro de Investigación</t>
  </si>
  <si>
    <t xml:space="preserve">Productos o procesos tecnológicos patentados o registrados </t>
  </si>
  <si>
    <t>Software registrado</t>
  </si>
  <si>
    <t xml:space="preserve">Productos o procesos tecnológicos usualmente no patentables (Prototipo) </t>
  </si>
  <si>
    <t>Empresa SpinOff en proceso de incubación</t>
  </si>
  <si>
    <t>Objeto Virtual de Aprendizaje</t>
  </si>
  <si>
    <t>Aula Virtual de Aprendizaje</t>
  </si>
  <si>
    <t>FRH</t>
  </si>
  <si>
    <t xml:space="preserve">Formación de Recurso Humano (FRH) </t>
  </si>
  <si>
    <t>Dirección de Tesis de Doctorado en la UMNG con temática asociadas a línea de investigación a la que pertenece el proyecto</t>
  </si>
  <si>
    <t xml:space="preserve">Dirección de Trabajos de Maestría en la UMNG con  temática asociadas a línea de investigación a la que pertenece el proyecto </t>
  </si>
  <si>
    <t xml:space="preserve">Dirección de Trabajos de Grado en la UMNG con temática asociadas a línea de investigación a la que pertenece el proyecto </t>
  </si>
  <si>
    <t xml:space="preserve">Dirección de Proyectos de Iniciación Científica en la UMNG con temática asociadas a línea de investigación a la que pertenece  el proyecto </t>
  </si>
  <si>
    <t xml:space="preserve">Conducción de asignatura en  Programa Doctoral con  temática asociadas a línea de investigación a la que perteneceel proyecto </t>
  </si>
  <si>
    <t xml:space="preserve">Conducción de asignatura en Maestría de investigación con temática asociadas a línea de investigación a la que pertenece el proyecto </t>
  </si>
  <si>
    <t>SAC</t>
  </si>
  <si>
    <t xml:space="preserve">Socialización y Apropiacióndel Conocimiento (SAC) </t>
  </si>
  <si>
    <t xml:space="preserve">Ponencia en evento Internacional (**) </t>
  </si>
  <si>
    <t>Ponencia en evento nacional (***)</t>
  </si>
  <si>
    <t xml:space="preserve">Publicación de material  divulgativo (con ISBN) o  publicaciones en revistas no indexadas </t>
  </si>
  <si>
    <t xml:space="preserve">Organización de Eventos de alcance  Internacional con temáticas asociadas al tema de investigación del grupo </t>
  </si>
  <si>
    <t>Tipo de Impacto</t>
  </si>
  <si>
    <t xml:space="preserve">Organización de Eventos de alcance nacional con temáticas asociadas al tema de investigación del grupo </t>
  </si>
  <si>
    <t xml:space="preserve">Organización de Eventos de alcance  institucional contemáticas  asociadas al temde investigación del grupo </t>
  </si>
  <si>
    <t xml:space="preserve">Recepción de Premios internacionales por resultados derivados del  proyecto </t>
  </si>
  <si>
    <t xml:space="preserve">Recepción de Premios Nacionales poresultados derivados delproyecto </t>
  </si>
  <si>
    <t>GI</t>
  </si>
  <si>
    <t xml:space="preserve">Gestión de Investigación (GI) </t>
  </si>
  <si>
    <t xml:space="preserve">Presentación de nuevo proyecto en la misma temática del proyecto financiado con la actual convocatoria, para desarrollar en cofinanciación con entidad académica o científica extranjera. Esta nueva propuesta debe acompañarse mínimo de Carta de Acuerdo de la entidad con la que se desarrollará la cooperación internacional. </t>
  </si>
  <si>
    <t xml:space="preserve">Presentación de nuevo proyecto en la misma temática del proyecto financiado con la actual convocatoria, para desarrollar en cofinanciación con entidad académica o científica nacional. Esta nueva propuesta debe acompañarse mínimo de Carta de Acuerdo de la entidad con la que se desarrollará la cooperación nacional. </t>
  </si>
  <si>
    <t>Informe final del proyecto</t>
  </si>
  <si>
    <t xml:space="preserve">Informe de los estudiantes participantes (en donde describan, la experiencia adquirida, y las conclusiones personales del PIC desarrollado).
</t>
  </si>
  <si>
    <t>Cartilla o Manual de los resultados obtenidos por los estudiantes vinculados a los PIC</t>
  </si>
  <si>
    <t>RUBRO</t>
  </si>
  <si>
    <t>$ Total Rubro</t>
  </si>
  <si>
    <t>%Max (Vicein)</t>
  </si>
  <si>
    <t>Personal</t>
  </si>
  <si>
    <t>Equipos</t>
  </si>
  <si>
    <t>Salidas de Campo</t>
  </si>
  <si>
    <t>Servicios Técnicos</t>
  </si>
  <si>
    <t>Publicaciones</t>
  </si>
  <si>
    <t>Viajes</t>
  </si>
  <si>
    <t>Mantenimiento</t>
  </si>
  <si>
    <t>T</t>
  </si>
  <si>
    <t>$ Total General</t>
  </si>
  <si>
    <t>Rubro</t>
  </si>
  <si>
    <t>Descripcion</t>
  </si>
  <si>
    <t>Vicein $</t>
  </si>
  <si>
    <t>TERMINOS DE REFERENCIA 2014 1</t>
  </si>
  <si>
    <t>Max</t>
  </si>
  <si>
    <t xml:space="preserve">Información Objetivo -  General </t>
  </si>
  <si>
    <t>&gt;&gt;</t>
  </si>
  <si>
    <t>Información Objetivos -  Especificos</t>
  </si>
  <si>
    <t>Detalle del Objetivo</t>
  </si>
  <si>
    <t xml:space="preserve">Tener en cuenta </t>
  </si>
  <si>
    <t>P</t>
  </si>
  <si>
    <t>% Actual</t>
  </si>
  <si>
    <t>Presupuesto asignado por produtividad comprometida</t>
  </si>
  <si>
    <t>A.</t>
  </si>
  <si>
    <t xml:space="preserve">Factor </t>
  </si>
  <si>
    <t xml:space="preserve">Numero de meses </t>
  </si>
  <si>
    <t>Valor Final</t>
  </si>
  <si>
    <t>Tipo de Vinculo</t>
  </si>
  <si>
    <t>Técnico</t>
  </si>
  <si>
    <t>Personal de Planta integrado al proyecto.</t>
  </si>
  <si>
    <t xml:space="preserve">Cronograma de Actividades </t>
  </si>
  <si>
    <t>Meses de Duracion</t>
  </si>
  <si>
    <t>Mes de Inicio</t>
  </si>
  <si>
    <t>Tiempo</t>
  </si>
  <si>
    <t>Max Presu</t>
  </si>
  <si>
    <t>EMP1</t>
  </si>
  <si>
    <t xml:space="preserve">Tiempo total maximo de ejecucion por convocatoria (Meses): </t>
  </si>
  <si>
    <t>Validación en número de caracteres</t>
  </si>
  <si>
    <t>Validación en Número de meses</t>
  </si>
  <si>
    <t>Información de productividad comprometida del proyecto.</t>
  </si>
  <si>
    <t>No debe tener mas de 1024 caracteres o de largo</t>
  </si>
  <si>
    <t>Clasificación</t>
  </si>
  <si>
    <t>o</t>
  </si>
  <si>
    <t>Anexo Para el calculo de presupuesto contrapartida por parte de personal investigativo.</t>
  </si>
  <si>
    <t>SIoNo</t>
  </si>
  <si>
    <r>
      <t xml:space="preserve">Sumatoria del calculo de personal de planta "Valor va en </t>
    </r>
    <r>
      <rPr>
        <b/>
        <sz val="11"/>
        <color theme="1"/>
        <rFont val="Calibri"/>
        <family val="2"/>
        <scheme val="minor"/>
      </rPr>
      <t>Centro</t>
    </r>
    <r>
      <rPr>
        <sz val="11"/>
        <color theme="1"/>
        <rFont val="Calibri"/>
        <family val="2"/>
        <scheme val="minor"/>
      </rPr>
      <t xml:space="preserve">": </t>
    </r>
  </si>
  <si>
    <t>Totales Generales</t>
  </si>
  <si>
    <t>Integrantes</t>
  </si>
  <si>
    <t>Cronograma</t>
  </si>
  <si>
    <t>Resumen</t>
  </si>
  <si>
    <t>Normas</t>
  </si>
  <si>
    <t>Tema</t>
  </si>
  <si>
    <t>Fuentes de Finaciacion</t>
  </si>
  <si>
    <t>Se entiende como Contrapartida todos los aportes que dedica la Unidad Académica (Facultades a través de los Centros de Investigaciones, Departamentos, Institutos) u otras entidades para apoyar el desarrollo del  proyecto. El objetivo de esta exigencia de contrapartida es comprometer a la Unidad Académica con el buen desarrollo de la investigación,  asegurando la continuidad y estabilidad del grupo investigador.</t>
  </si>
  <si>
    <t>Rubros financiables con recursos  VICEIN UMNG</t>
  </si>
  <si>
    <t xml:space="preserve">Se refiere a profesionales investigadores y/o profesionales expertos nacionales e internacionales definidos como participantes en el proyecto y operarios o técnicos requeridos en el mismo. Para el cálculo de los recursos a solicitar en este rubro se debe tomar como base la escala salarial de la institución y el tiempo real dedicado por la persona al proyecto, el cual no podrá ser inferior a cinco horas semanales, tanto para personal financiado por VICEIN UMNG como por la contrapartida (Unidad Académica). </t>
  </si>
  <si>
    <r>
      <t xml:space="preserve">Para el cálculo de los honorarios debe tomarse en cuenta el salario mensual del docente multiplicado por un factor de 1.6 multiplicado por el número de horas de dedicación al proyecto multiplicado por el número de meses que se vinculará con el proyecto: </t>
    </r>
    <r>
      <rPr>
        <u/>
        <sz val="11"/>
        <color theme="1"/>
        <rFont val="Calibri"/>
        <family val="2"/>
        <scheme val="minor"/>
      </rPr>
      <t>salario x 1.61 x porcentaje de dedicación al proyecto x No. Meses de vinculación al proyecto</t>
    </r>
    <r>
      <rPr>
        <sz val="11"/>
        <color theme="1"/>
        <rFont val="Calibri"/>
        <family val="2"/>
        <scheme val="minor"/>
      </rPr>
      <t>.  Debe tenerse en cuenta, sin embargo, que independientemente de las escalas salariales de las instituciones, existen límites máximos para los pagos del personal que financia VICEIN UMNG</t>
    </r>
  </si>
  <si>
    <t>La financiación para compra de equipos nuevos deberá estar sustentada en la estricta necesidad de los mismos para el desarrollo de la investigación. Es importante que los investigadores verifiquen si el equipo que necesitan ya existe en otra dependencia de su universidad o centro, o en otra institución, de la cual pudiese solicitarse en préstamo, arrendamiento o la prestación de servicios técnicos.</t>
  </si>
  <si>
    <t>No financiable. Se refiere a  viajes relacionados  con actividades del proyecto diferentes de salidas  de campo. VICEIN UMNG financia viajes para presentación de resultados del proyecto, pasantías o formación de redes por centros de costo diferente a presupuestos de proyectos de investigación.</t>
  </si>
  <si>
    <t>Salidas de campo</t>
  </si>
  <si>
    <t>Materiales, insumos y servicios técnicos</t>
  </si>
  <si>
    <t xml:space="preserve">Corresponden a aquellos necesarios para el desarrollo de la investigación o de la tecnología y deben presentarse a manera de listado detallado agrupado por categorías sobre las cuales se debe hacer una justificación de su necesidad y uso dentro del proyecto. El tipo de servicios técnicos (exámenes, pruebas, análisis o servicios especializados) para los cuales se solicitan recursos VICEIN UMNG debe desglosarse </t>
  </si>
  <si>
    <t>Publicaciones y patentes</t>
  </si>
  <si>
    <r>
      <rPr>
        <b/>
        <sz val="11"/>
        <color theme="1"/>
        <rFont val="Calibri"/>
        <family val="2"/>
        <scheme val="minor"/>
      </rPr>
      <t>No financiable</t>
    </r>
    <r>
      <rPr>
        <sz val="11"/>
        <color theme="1"/>
        <rFont val="Calibri"/>
        <family val="2"/>
        <scheme val="minor"/>
      </rPr>
      <t>. Este rubro se financia a través de un centro de costo diferente a los proyectos de investigación. Se refiere a los costos de edición y publicación de artículos científicos en revistas indexadas o divulgativas reconocidas, libros, manuales, videos, cartillas, etc. que presenten los resultados del proyecto y sirvan como estrategia de comunicación de éstos. También se financiarán los costos para la solicitud de patentes de innovaciones tecnológicas derivadas del proyecto</t>
    </r>
  </si>
  <si>
    <t>Todas las publicaciones y ponencias que se realicen, deben tener un enunciado que certifique la financiación por parte de la Vicerrectoría de Investigaciones de la UMNG</t>
  </si>
  <si>
    <t>Proyecto de Iniciación Cientifica PIC</t>
  </si>
  <si>
    <t>Proyecto de Alto Impacto</t>
  </si>
  <si>
    <t>Proyecto de Investigación Científica</t>
  </si>
  <si>
    <t>Proyecto de Innovación</t>
  </si>
  <si>
    <t>Proyecto de Emprendiemiento - Incubación Fase 0</t>
  </si>
  <si>
    <t>Proyecto de Emprendiemiento - Incubación Fase  1</t>
  </si>
  <si>
    <t>La Ciencia al servicio de la PAZ</t>
  </si>
  <si>
    <t>Institución Pública</t>
  </si>
  <si>
    <t>Institución Privada</t>
  </si>
  <si>
    <t>Tipo 2</t>
  </si>
  <si>
    <t xml:space="preserve">Centro de investigacion </t>
  </si>
  <si>
    <t>Centro de desarrollo tecnológico</t>
  </si>
  <si>
    <t>Ciencias Básicas y Aplicadas</t>
  </si>
  <si>
    <t xml:space="preserve">Estudios a Distancia </t>
  </si>
  <si>
    <t xml:space="preserve">Ciencias Económicas </t>
  </si>
  <si>
    <t>Educación y Humanidades</t>
  </si>
  <si>
    <t>Medicina y Ciencias de la Salud</t>
  </si>
  <si>
    <t>Relaciones Intenacionales, Estrategia y Seguridad</t>
  </si>
  <si>
    <t>Externo a la UMNG</t>
  </si>
  <si>
    <t>SEDES</t>
  </si>
  <si>
    <t>Descripción de la(s) actividad(es) asociada(s) a cada objetivo específico</t>
  </si>
  <si>
    <t>No debe tener mas de 999 caracteres o de largo</t>
  </si>
  <si>
    <t>ESTRUCTURA DEL PROYECTO</t>
  </si>
  <si>
    <t>a.</t>
  </si>
  <si>
    <t>b.</t>
  </si>
  <si>
    <t>c.</t>
  </si>
  <si>
    <t>Estado del arte de la investigación, innovacion o emprendimiento</t>
  </si>
  <si>
    <t>Metodología propuesta para alcanzar cada uno de los objetivos específicos propuestos</t>
  </si>
  <si>
    <t xml:space="preserve">Tipo </t>
  </si>
  <si>
    <t xml:space="preserve">No. </t>
  </si>
  <si>
    <t>Salud Humana</t>
  </si>
  <si>
    <t>Seres Vivos</t>
  </si>
  <si>
    <t xml:space="preserve">Económico </t>
  </si>
  <si>
    <t>Indicadores</t>
  </si>
  <si>
    <t>Sometido</t>
  </si>
  <si>
    <t>Copia Archivo de Seguridad</t>
  </si>
  <si>
    <t>Certificado</t>
  </si>
  <si>
    <t>Modelo funcionalidad</t>
  </si>
  <si>
    <t>Registro ante dirección nacional de derechos de autor</t>
  </si>
  <si>
    <t>Registro creación empresa</t>
  </si>
  <si>
    <t>Acta del comité de de investigacion donde se designa al director y anteproyecto de tesis doctoral o Certificado de la unidad Academica.</t>
  </si>
  <si>
    <t>Acta del comité de de investigacion donde se designa al tutor y anteproyecto o Certificado de la unidad Academica.</t>
  </si>
  <si>
    <t>Copia del acta sustentación de la del proyecto de grado</t>
  </si>
  <si>
    <t>Informe final</t>
  </si>
  <si>
    <t>Certificación de la Unidad Académica.</t>
  </si>
  <si>
    <t>Acta del comité curricular aprobado los contenidos y se  verifique la articulación con la línea de investigación, copia plan de trabajo o Certificado de la unidad Academica.</t>
  </si>
  <si>
    <t>Resumen publicado en  memoria del evento y/o certificado de ponente</t>
  </si>
  <si>
    <t>Resumen publicado en libro de memoria del evento</t>
  </si>
  <si>
    <t>Certificado de la participación de la organización del evento</t>
  </si>
  <si>
    <t>Acuerdo o Contrato</t>
  </si>
  <si>
    <t>Registro resultados Convocatoria</t>
  </si>
  <si>
    <t>Convenio marco o carta institucional de compromiso internacional.</t>
  </si>
  <si>
    <t>$ Contrapartida Externa</t>
  </si>
  <si>
    <t>$ Contrapartida Facultad</t>
  </si>
  <si>
    <t>Número Horas / Semanal</t>
  </si>
  <si>
    <t>Estado del Arte</t>
  </si>
  <si>
    <t>Imágenes que contiene el proyecto</t>
  </si>
  <si>
    <t>Sigla</t>
  </si>
  <si>
    <t>N</t>
  </si>
  <si>
    <t>Sector Defensa</t>
  </si>
  <si>
    <t>Normas para el diligenciamiento de formulación de proyecto</t>
  </si>
  <si>
    <t xml:space="preserve">(No Imprimir esta hoja) </t>
  </si>
  <si>
    <t xml:space="preserve">Deberá separarse la compra de equipo nuevo o arrendado, del uso de equipo propio. Este último se refiere al que ya existe en la institución y que por utilizarse en la investigación se acepta también como contrapartida institucional por un valor máximo del 10% de su precio comercial al estar nuevo. Las cotizaciones de los equipos deberán estar disponibles para consulta de VICEIN UMNG en el caso en que esta entidad considere necesario verificar los costos de los equipos solicitados. </t>
  </si>
  <si>
    <r>
      <t>(recuperación contingente) . De existir alguna diferencia ésta deberá  asumirla la contrapartida. Es importante especificar si el docente o investigador que se propone ya se encuentra vinculado con la UMNG. En caso de estar vinculado debe especificarse en que modalidad (Planta MT, TC, DE, o en HC). Al especificar la función del investigador dentro del proyecto se deben utilizar únicamente los siguientes términos: I</t>
    </r>
    <r>
      <rPr>
        <u/>
        <sz val="11"/>
        <color theme="1"/>
        <rFont val="Calibri"/>
        <family val="2"/>
        <scheme val="minor"/>
      </rPr>
      <t>nvestigador Principal, Coinvestigador, Auxiliar, Estudiante de maestría o doctorado</t>
    </r>
    <r>
      <rPr>
        <sz val="11"/>
        <color theme="1"/>
        <rFont val="Calibri"/>
        <family val="2"/>
        <scheme val="minor"/>
      </rPr>
      <t xml:space="preserve">. No se financiarán honorarios o bonificaciones especiales a personal de nómina de las Unidades Académicas de la UMNG. </t>
    </r>
  </si>
  <si>
    <t>A1</t>
  </si>
  <si>
    <t>PAZ</t>
  </si>
  <si>
    <t>Sede de Ejecución del Proyecto:</t>
  </si>
  <si>
    <t>Facultad $</t>
  </si>
  <si>
    <t>Identificación</t>
  </si>
  <si>
    <t>INV - IMP</t>
  </si>
  <si>
    <t>Caracteres</t>
  </si>
  <si>
    <t>Total Presupuesto Actual</t>
  </si>
  <si>
    <t>Valor Actual</t>
  </si>
  <si>
    <t xml:space="preserve">Se aplica a gastos de medios de transporte para el traslado a zonas de muestreo y ejecución de las labores de campo propias de la investigación. Se refiere principalmente a costos de combustible, aceite o alquiler de medios de transporte cuando se requiere. Deberán desglosarse y justificarse Aquí se incluyen los costos de desplazamiento y apoyos de estadía </t>
  </si>
  <si>
    <t xml:space="preserve">Presupuesto </t>
  </si>
  <si>
    <t>Los rubros : Publicaciones, Viajes , Construcciones, Mantenimiento y adminsitración no son financiables por recursos frescos de la Vicerrectoría de investigaciones.</t>
  </si>
  <si>
    <t>No debe tener mas de 999 caracteres por celda o de largo</t>
  </si>
  <si>
    <t>Fecha de Emisión: 2014/07/31</t>
  </si>
  <si>
    <t>Revision N°:
1</t>
  </si>
  <si>
    <t>IN-IV-F-14</t>
  </si>
  <si>
    <t>Impactos Esperados</t>
  </si>
  <si>
    <t xml:space="preserve">Ponencia en evento Institucional </t>
  </si>
  <si>
    <t>Sueldo Neto</t>
  </si>
  <si>
    <t>Cuadro de consolidación</t>
  </si>
  <si>
    <t>$ Financiación solicitada a VICEIN</t>
  </si>
  <si>
    <t>Cantidad</t>
  </si>
  <si>
    <t>Presup. VICEIN : $</t>
  </si>
  <si>
    <t>Apartes</t>
  </si>
  <si>
    <t>Bibliografia citada en la  estructura del proyecto</t>
  </si>
  <si>
    <t xml:space="preserve">Descripción y Justificación del Proyecto </t>
  </si>
  <si>
    <t>VICEINUMNG2014</t>
  </si>
  <si>
    <t>Clave</t>
  </si>
  <si>
    <t>6.</t>
  </si>
  <si>
    <t>7.</t>
  </si>
  <si>
    <t>9.</t>
  </si>
  <si>
    <t>10.</t>
  </si>
  <si>
    <t>11.</t>
  </si>
  <si>
    <t>12.</t>
  </si>
  <si>
    <t>14.</t>
  </si>
  <si>
    <t>15.</t>
  </si>
  <si>
    <t>16.</t>
  </si>
  <si>
    <t>18.</t>
  </si>
  <si>
    <t>17.</t>
  </si>
  <si>
    <t xml:space="preserve">Grupo de Investigación </t>
  </si>
  <si>
    <t>Nombre del grupo de Investigación:</t>
  </si>
  <si>
    <t>CONFORMACIÓN Y TRAYECTORIA DEL GRUPO DE INVESTIGACIÓN-</t>
  </si>
  <si>
    <t>Nombre del lider del grupo:</t>
  </si>
  <si>
    <t>b</t>
  </si>
  <si>
    <t xml:space="preserve">Visión </t>
  </si>
  <si>
    <t>d. Misión</t>
  </si>
  <si>
    <t>e. Objetivo General</t>
  </si>
  <si>
    <t>f.</t>
  </si>
  <si>
    <t xml:space="preserve">g. </t>
  </si>
  <si>
    <t>Proyectos:</t>
  </si>
  <si>
    <t xml:space="preserve">h. </t>
  </si>
  <si>
    <t>Productividad relacionada Grup:</t>
  </si>
  <si>
    <t>Link Grup Lac:</t>
  </si>
  <si>
    <t xml:space="preserve">Se puede utilizar la convinación de teclas (Atl + Enter) para adicionar una nueva linea en las celdas o adicionar Filas </t>
  </si>
  <si>
    <t>Movilidad</t>
  </si>
  <si>
    <t>Contratación de Joven Investigador  UMNG</t>
  </si>
  <si>
    <t>Jov. Investigador</t>
  </si>
  <si>
    <t>Min</t>
  </si>
  <si>
    <t>Articulo Q3</t>
  </si>
  <si>
    <t>Articulo Q4</t>
  </si>
  <si>
    <t xml:space="preserve">En Cuartil 3 (Q3) de Scimago </t>
  </si>
  <si>
    <t xml:space="preserve">En Cuartil 4 (Q4) de Scimago </t>
  </si>
  <si>
    <t>Contrato OPS Fotocopia</t>
  </si>
  <si>
    <t>X</t>
  </si>
  <si>
    <t>Validacion</t>
  </si>
  <si>
    <t>Asistente Investigación</t>
  </si>
  <si>
    <t>Joven Investigador</t>
  </si>
  <si>
    <t>OPS - Prestación Servicios</t>
  </si>
  <si>
    <t>Patentes Invencion</t>
  </si>
  <si>
    <t>Patentes Utilidad</t>
  </si>
  <si>
    <t>Productos o procesos tecnológicos patentados o registrados de modelo de utilidad</t>
  </si>
  <si>
    <t>Resolución expedida SIC/ Patente</t>
  </si>
  <si>
    <t>Asis. Graduado(IMP)</t>
  </si>
  <si>
    <t>Contratación de Asistente Graduado UMNG</t>
  </si>
  <si>
    <t>Org. Evento Insti.</t>
  </si>
  <si>
    <t>Se pasan de Vigencia :</t>
  </si>
  <si>
    <t>Pendientes</t>
  </si>
  <si>
    <t>Datos Generales sin llenar. = &gt; &gt;</t>
  </si>
  <si>
    <t xml:space="preserve">Hoja </t>
  </si>
  <si>
    <t>Datos Generales</t>
  </si>
  <si>
    <t>Hay textos en resumen</t>
  </si>
  <si>
    <t>=&gt; Numero de resgistros de resumenes diligenciados.</t>
  </si>
  <si>
    <t>=&gt; Numero de resgistros de descripción diligenciados.</t>
  </si>
  <si>
    <t xml:space="preserve">Hay Textos en Descripcion </t>
  </si>
  <si>
    <t>=&gt; Numero de caracteres diligenciados</t>
  </si>
  <si>
    <t xml:space="preserve">Objevos </t>
  </si>
  <si>
    <t xml:space="preserve">Hay Objetivo General </t>
  </si>
  <si>
    <t xml:space="preserve">Hay Objetivos Especificos </t>
  </si>
  <si>
    <t>Metodologia</t>
  </si>
  <si>
    <t>Hay textos en Metodología.</t>
  </si>
  <si>
    <t>Hay textos en estado del arte.</t>
  </si>
  <si>
    <t>Hay actividades de Cronograma</t>
  </si>
  <si>
    <t>Hay fechas que superen vigencias</t>
  </si>
  <si>
    <t>Productos</t>
  </si>
  <si>
    <t>Total Puntos</t>
  </si>
  <si>
    <t>Descripción o detalles del producto esperado</t>
  </si>
  <si>
    <t>Beneficiario de la optención del Prod.</t>
  </si>
  <si>
    <t>No. Productos sin llenar datos.</t>
  </si>
  <si>
    <t>Investigadores Principales</t>
  </si>
  <si>
    <t>No. Coinvestigadores :</t>
  </si>
  <si>
    <t>No. Asistente Investigación</t>
  </si>
  <si>
    <t>No. Joven Investigador</t>
  </si>
  <si>
    <t>No. Asistente Graduado</t>
  </si>
  <si>
    <t xml:space="preserve">No. Tutor </t>
  </si>
  <si>
    <t>No. Estudiante</t>
  </si>
  <si>
    <t>OPS- Asistentes</t>
  </si>
  <si>
    <t>OPS- UMNG</t>
  </si>
  <si>
    <t>OPS- Practica</t>
  </si>
  <si>
    <t>Impactos</t>
  </si>
  <si>
    <t xml:space="preserve">Grupos </t>
  </si>
  <si>
    <t>Hay registros sin diligenciar en Grupos</t>
  </si>
  <si>
    <t>BiblioGrafica</t>
  </si>
  <si>
    <t>Datos de referencia bibliografica</t>
  </si>
  <si>
    <t>Tipo de Convocatoria:</t>
  </si>
  <si>
    <t>Presupuesto por parte de la Facultad:</t>
  </si>
  <si>
    <t>Vicein1234</t>
  </si>
  <si>
    <t>GAFRED</t>
  </si>
  <si>
    <t>Espectro Radioeléctrico</t>
  </si>
  <si>
    <t>Diversidad, biología y taxonomia de polinizadores colombianos</t>
  </si>
  <si>
    <t>Modelos biológicos y ecológicos de insectos benéficos</t>
  </si>
  <si>
    <t>Aprendizaje en Economía</t>
  </si>
  <si>
    <t>Información financiera  (Plan de compras) .</t>
  </si>
  <si>
    <t>Año</t>
  </si>
  <si>
    <t>Recursos Biblograficos</t>
  </si>
  <si>
    <t>Doc. Carrera TC</t>
  </si>
  <si>
    <t>Doc. Ocasional</t>
  </si>
  <si>
    <t>Doc. Carrera MT</t>
  </si>
  <si>
    <t>Asis. Graduado MG</t>
  </si>
  <si>
    <t>Asis. Graduado Doc</t>
  </si>
  <si>
    <t>20.</t>
  </si>
  <si>
    <t>Con cargo a recursos de VICEIN UMNG (en modalidad de recuperación contingente) se podrán financiar solamente los siguientes rubros: Personal, Equipos, Software, Materiales, Salidas de Campo, Servicios Técnicos, Movilidades, Material Biblografico y Papeleria</t>
  </si>
  <si>
    <t xml:space="preserve">a.) </t>
  </si>
  <si>
    <t>Título de proyecto de investigación:</t>
  </si>
  <si>
    <t>Puntos :</t>
  </si>
  <si>
    <t>Pertinencia e impacto de la propuesta en el contexto social y académico.</t>
  </si>
  <si>
    <t>COL0036749</t>
  </si>
  <si>
    <t>COL0127649</t>
  </si>
  <si>
    <t>COL0126777</t>
  </si>
  <si>
    <t>COL0142331</t>
  </si>
  <si>
    <t>COL0142449</t>
  </si>
  <si>
    <t>COL0151789</t>
  </si>
  <si>
    <t>COL0149359</t>
  </si>
  <si>
    <t>COL0117722</t>
  </si>
  <si>
    <t>COL0143731</t>
  </si>
  <si>
    <t>Química Verde</t>
  </si>
  <si>
    <t>Grupo de Docencia e Investigación en Física</t>
  </si>
  <si>
    <t>Nanotecnología y Sensórica</t>
  </si>
  <si>
    <t>Docencia y Didactica de la Física Universitaria</t>
  </si>
  <si>
    <t>Uso de radiación ionizante para la producción de imágenes médicas</t>
  </si>
  <si>
    <t>Magnetismo y Aplicaciones</t>
  </si>
  <si>
    <t>Física Atómica, Molecular y de Agregados</t>
  </si>
  <si>
    <t>Estadística, Control y Optimización</t>
  </si>
  <si>
    <t>COL0136423</t>
  </si>
  <si>
    <t>Control óptimo estocástico</t>
  </si>
  <si>
    <t>Métodos estadísticos basados en grafos</t>
  </si>
  <si>
    <t>Optimizacion Semidefinida</t>
  </si>
  <si>
    <t>Optimización Numérica. Máquinas de Vectores de Soportes.</t>
  </si>
  <si>
    <t>Epidemiología Clínica</t>
  </si>
  <si>
    <t>COL0152319</t>
  </si>
  <si>
    <t>BioGenEtica &amp; BioDerecho</t>
  </si>
  <si>
    <t>COL0096032</t>
  </si>
  <si>
    <t>Genética Humana</t>
  </si>
  <si>
    <t>COL0120281</t>
  </si>
  <si>
    <t>Medicina Electrodiagnostica</t>
  </si>
  <si>
    <t>Rehabilitacion Neurologica</t>
  </si>
  <si>
    <t>Rehabilitacion cardio-pulmonar</t>
  </si>
  <si>
    <t>Rehabilitacion musculo esqueletica</t>
  </si>
  <si>
    <t>Rehabilitación Infantil</t>
  </si>
  <si>
    <t>COL0152472</t>
  </si>
  <si>
    <t>GRUPO NEUROCIENCIAS HMC</t>
  </si>
  <si>
    <t>COL0138698</t>
  </si>
  <si>
    <t>EDUMECIS</t>
  </si>
  <si>
    <t>COL0152463</t>
  </si>
  <si>
    <t>Firma Investigador Principal</t>
  </si>
  <si>
    <t>Marco Teorico</t>
  </si>
  <si>
    <t>Líder Responsable</t>
  </si>
  <si>
    <t>Máximo Numero  Digitado</t>
  </si>
  <si>
    <t>* En proyectos IMP se debe discriminar por año el presupuesto a utilizar sin superar el la mitad del total.</t>
  </si>
  <si>
    <t>Papelería</t>
  </si>
  <si>
    <t>Total Presupuesto Año 1 :</t>
  </si>
  <si>
    <t>Información total financiera por rubro de financiación .</t>
  </si>
  <si>
    <t>Estos Rubros no son Financiables por recursos de la VICEIN por lo que cualquier valor asociado a estos rubros en el presupuesto de la vicerrectoría no serán aprobados y se descartaran.</t>
  </si>
  <si>
    <t>Construcciones</t>
  </si>
  <si>
    <t>Administración</t>
  </si>
  <si>
    <t>Nombre Institución Externa :</t>
  </si>
  <si>
    <t>Hoja destinada para elementos que estructuralmente se ingresan en los apartes de la propuesta de investigación.</t>
  </si>
  <si>
    <t>R</t>
  </si>
  <si>
    <t>A</t>
  </si>
  <si>
    <t>Doc. Acompañante</t>
  </si>
  <si>
    <t>Externo /Otros $</t>
  </si>
  <si>
    <t>Carta u oficio donde se expresen las experiencias adquiridas.</t>
  </si>
  <si>
    <t>Artículo sin indexar</t>
  </si>
  <si>
    <t>Articulo no indexado</t>
  </si>
  <si>
    <t>Documento Dilgenciado con firmas Avaladas</t>
  </si>
  <si>
    <t>Datos digilenciados VICIEIN.</t>
  </si>
  <si>
    <t>http://scienti.colciencias.gov.co:8080/gruplac/jsp/visualiza/visualizagr.jsp?nro=</t>
  </si>
  <si>
    <t>BB</t>
  </si>
  <si>
    <t>Hoja</t>
  </si>
  <si>
    <t>FAC</t>
  </si>
  <si>
    <t>Grupo</t>
  </si>
  <si>
    <t>COD</t>
  </si>
  <si>
    <t>Clas</t>
  </si>
  <si>
    <t>Link</t>
  </si>
  <si>
    <t>Lineas</t>
  </si>
  <si>
    <t>Fila Grupo</t>
  </si>
  <si>
    <t>Cel</t>
  </si>
  <si>
    <t>Fila</t>
  </si>
  <si>
    <t>CIAS</t>
  </si>
  <si>
    <t>Medios de comunicación, educación y salud</t>
  </si>
  <si>
    <t>Salud Pública y Nutrición, Prevención de la Enfermedad y Promoción de la Salud</t>
  </si>
  <si>
    <t>Procesos Organizacionales (Prospectiva de las Organizaciones), Programáticos y Políticos para la Promoción del Desarrollo.</t>
  </si>
  <si>
    <t>Desarrollo e integración de estrategias alternativas para la protección de cultivos de importancia económica, con énfasis en control biológico.</t>
  </si>
  <si>
    <t>Prospectiva de las Organizaciones</t>
  </si>
  <si>
    <t xml:space="preserve">Grupo de Micología y Fitopatologia </t>
  </si>
  <si>
    <t>Responsabilidad Ambiental</t>
  </si>
  <si>
    <t>Fitopatologia molecular</t>
  </si>
  <si>
    <t>Responsabilidad Social Empresarial</t>
  </si>
  <si>
    <t>Análisis de redes de interacción planta-polinizador a partir de técnicas palinológicas</t>
  </si>
  <si>
    <t>Grupo de Investigación en Hidrobiología Aplicada (HIDROBIA)</t>
  </si>
  <si>
    <t>Cría de especies del género Bombus para su utilización como polinizadores en cultivos de la sabana Cundi-boyacense.</t>
  </si>
  <si>
    <t>ECMU (Evaluacion en Competencias y Matemáticas Universitarias)</t>
  </si>
  <si>
    <t>Multimedia Educativa</t>
  </si>
  <si>
    <t>DER</t>
  </si>
  <si>
    <t>Desarrollo de modelos de ingeniería de tejido humano</t>
  </si>
  <si>
    <t>NR</t>
  </si>
  <si>
    <t>DIS</t>
  </si>
  <si>
    <t>PROPPIO: Procesos organizacionales, programaticos y políticos para la promoción del desarrollo</t>
  </si>
  <si>
    <t>"PYDES" Pedagogía y didáctica en la educación superior</t>
  </si>
  <si>
    <t>Medios, Mediaciones y Procesos en Educación a Distancia</t>
  </si>
  <si>
    <t>ECO</t>
  </si>
  <si>
    <t>Grupo de Estudios en Ciencias Económicas - CIE</t>
  </si>
  <si>
    <t>GECS (Grupo de Investigación en Contabilidad y Sociedad)</t>
  </si>
  <si>
    <t>EES</t>
  </si>
  <si>
    <t>HUM</t>
  </si>
  <si>
    <t>Cultura y Desarrollo Humano</t>
  </si>
  <si>
    <t>ING</t>
  </si>
  <si>
    <t>Grupo de Investigación en Multimedia -GIM-</t>
  </si>
  <si>
    <t>TIGUM: Grupo de Investigacion en Telemedicina Universidad Militar</t>
  </si>
  <si>
    <t>PRODUCCION, INNOVACION Y TECNOLOGIA</t>
  </si>
  <si>
    <t>Solución numérica de ecuaciones diferenciales parciales</t>
  </si>
  <si>
    <t>Economía de la defensa y del conflicto</t>
  </si>
  <si>
    <t>Estructuras y sísmica</t>
  </si>
  <si>
    <t>INGENIERÍA, GEOMÁTICA Y EDUCACIÓN (IGE)</t>
  </si>
  <si>
    <t>GISSIC: Grupo de Investigacion en Seguridad y Sistemas de Comunicaciones</t>
  </si>
  <si>
    <t>Calidad de Vida de las enfermedades respiratorias en la nińez</t>
  </si>
  <si>
    <t>Energia alternativa, Centro Multidisciplinario de Investigación</t>
  </si>
  <si>
    <t>Enfermedad bronquial obstructiva recurrente en nińos (Asma, sibilancias inducidas por virus, sibilancias recurrentes, sibilancias persistentes de múltiples desencadenantes)</t>
  </si>
  <si>
    <t>GI-iTEC - Grupo de Investigación e innovación Tecnológica en Electrónica y Comunicaciones</t>
  </si>
  <si>
    <t>Enfermedad pulmonar obstructiva crónica del Recién Nacido</t>
  </si>
  <si>
    <t>Enfermedades infecciosas de la infancia (Rinosinusitis, Croup, Bronquiolitis, Neumonía, Tuberculosis, Infección por VIH con afectación pulmonar)</t>
  </si>
  <si>
    <t>GREST</t>
  </si>
  <si>
    <t>Fármaco economía de las enfermedades respiratorias en la infancia</t>
  </si>
  <si>
    <t>MED</t>
  </si>
  <si>
    <t>Materiales y Procesos de Manufactura</t>
  </si>
  <si>
    <t>Grupo para el estudio de enfermedades respiratorias en nińos. Respira</t>
  </si>
  <si>
    <t>Demografía y Economía Laboral</t>
  </si>
  <si>
    <t>Polětica Monetaria y Desarrollo Financiero</t>
  </si>
  <si>
    <t>Grupo de Investigacion en Dermatologia HMC</t>
  </si>
  <si>
    <t>Biología y Ecología de plagas y enemigos naturales de cultivos de importancia económica</t>
  </si>
  <si>
    <t>Generación de recomendaciones para el manejo integrado de plagas, mediante el diseńo de modelos de simulación de agroecosistemas</t>
  </si>
  <si>
    <t>Kokhlias.</t>
  </si>
  <si>
    <t>Salud Mental y Calidad de Vida</t>
  </si>
  <si>
    <t>Ambiente Virtuales de Aprendizaje</t>
  </si>
  <si>
    <t>Epidemiología molecular de enfermedades endocrinas</t>
  </si>
  <si>
    <t>Formación pedagógica para el posconflicto en Colombia</t>
  </si>
  <si>
    <t>Gestión del conocimiento y calidad de la educación superior</t>
  </si>
  <si>
    <t>Grupo de inmunología Clínica Aplicada (GICA)</t>
  </si>
  <si>
    <t xml:space="preserve">Epidemiología y Salud Colectiva </t>
  </si>
  <si>
    <t>Gestión Tecnológica</t>
  </si>
  <si>
    <t>Gestión del conocimiento</t>
  </si>
  <si>
    <t>Los Estilos de enseńanza y Aprendizaje</t>
  </si>
  <si>
    <t>Mineria Web</t>
  </si>
  <si>
    <t>Salud Pública, Bioética e Ingeniería</t>
  </si>
  <si>
    <t>Liderazgo y gestión en educación.</t>
  </si>
  <si>
    <t>Cirugía Dermatologica</t>
  </si>
  <si>
    <t>Dermatologia Pediatrica</t>
  </si>
  <si>
    <t>Fotobiologia y Fototerapia</t>
  </si>
  <si>
    <t>Calidad y Gestión en la Educación</t>
  </si>
  <si>
    <t>Gestión y Proyectos</t>
  </si>
  <si>
    <t>Sostenibilidad y Medio Ambiente</t>
  </si>
  <si>
    <t>Producción de nuevas variedades de clavel resistentes a parasitos vasculares.</t>
  </si>
  <si>
    <t>Desarrollo de software y hardware embebido</t>
  </si>
  <si>
    <t>Procesamiento digital de seńales e imágenes</t>
  </si>
  <si>
    <t>Producción sostenible</t>
  </si>
  <si>
    <t>Estadística Multivariada paramétrica y no paramétrica.</t>
  </si>
  <si>
    <t>Biomecatronica</t>
  </si>
  <si>
    <t>Optimización y Control de sistemas dinámicos</t>
  </si>
  <si>
    <t>Robótica híbrida</t>
  </si>
  <si>
    <t>Simulacion y Realidad Virtual</t>
  </si>
  <si>
    <t>Instrumentación estructural y sensórica</t>
  </si>
  <si>
    <t>Inmunoregulación</t>
  </si>
  <si>
    <t>Investigación en Cáncer</t>
  </si>
  <si>
    <t>Mesénquima</t>
  </si>
  <si>
    <t>Cirugía Ortognática y Distracción Osteogénica</t>
  </si>
  <si>
    <t>Implantología y Cirugía Reconstructiva</t>
  </si>
  <si>
    <t>Infecciones, Patología y Cirugía Dentoalveolar</t>
  </si>
  <si>
    <t>Multimedia Analítica</t>
  </si>
  <si>
    <t>Bioética Educación y Cultura</t>
  </si>
  <si>
    <t>(EO) Estructuras Organizacionales</t>
  </si>
  <si>
    <t>(PI) Procesos de Integración</t>
  </si>
  <si>
    <t>(R) Regionalización</t>
  </si>
  <si>
    <t>Biología Molecular de organismos acuáticos, con énfasis en especies de interés comercial y amenazadas.</t>
  </si>
  <si>
    <t>Estudios Morfológicos, Tróficos, Ecológicos, Bióticos y Abióticos de Humedales Colombianos, con énfasis en la Sabana de Bogotá.</t>
  </si>
  <si>
    <t>Producción Hortícola Limpia</t>
  </si>
  <si>
    <t>Bioprospección de Comunidades Vegetales</t>
  </si>
  <si>
    <t>Fitopatología y ecofisiología vegetal</t>
  </si>
  <si>
    <t>Metabolómica</t>
  </si>
  <si>
    <t>Modelado Molecular y Quimioinformática</t>
  </si>
  <si>
    <t>Química Ambiental</t>
  </si>
  <si>
    <t>Química Bioorgánica</t>
  </si>
  <si>
    <t>Redes Tróficas y Agroecología</t>
  </si>
  <si>
    <t>Bioquímica</t>
  </si>
  <si>
    <t>Química Inorgánica</t>
  </si>
  <si>
    <t>Química de coordinación y catálisis ambiental</t>
  </si>
  <si>
    <t>Ayudas Auditivas Implantables</t>
  </si>
  <si>
    <t>Cáncer Laríngeo</t>
  </si>
  <si>
    <t>Trauma de guerra en Otorrinolaringología</t>
  </si>
  <si>
    <t>Derecho de la responsabilidad y de seguros</t>
  </si>
  <si>
    <t>Procesos biológicos</t>
  </si>
  <si>
    <t>Procesos enzimaticos</t>
  </si>
  <si>
    <t>Bioética Global y Complejidad</t>
  </si>
  <si>
    <t>Bioética Médica y salud pública</t>
  </si>
  <si>
    <t>Bioética, Biopolítica y Biojurídica</t>
  </si>
  <si>
    <t>Internet de las Cosas</t>
  </si>
  <si>
    <t>Procesamiento de Seńales</t>
  </si>
  <si>
    <t>Paz y Posconflicto</t>
  </si>
  <si>
    <t>Seguridad de Personas</t>
  </si>
  <si>
    <t>Inteligencia artificial y procesamiento de seńales</t>
  </si>
  <si>
    <t>Laboratorios virtuales e instrumentación virtual</t>
  </si>
  <si>
    <t>Sistemas Bioinspirados</t>
  </si>
  <si>
    <t>Tecnologías de la información y las comunicaciones (TIC)</t>
  </si>
  <si>
    <t>Visión de Máquina</t>
  </si>
  <si>
    <t>Desarrollo de diagnósticos físico matemáticos de la morfofisiología celular e histológica con base en geometría fractal y euclidiana.</t>
  </si>
  <si>
    <t>Desarrollo de diagnósticos físico matemáticos de la morfofisiología y la dinámica cardiaca fetal y de adultos</t>
  </si>
  <si>
    <t>Física y matemáticas aplicadas</t>
  </si>
  <si>
    <t>Predicciones en infectología</t>
  </si>
  <si>
    <t>Teorías físicas y Matemáticas aplicadas al desarrollo de diagnósticos de la dinámica y morfología cardíaca</t>
  </si>
  <si>
    <t>teorías físicas y Matemáticas aplicadas a la prediccion de epidemias</t>
  </si>
  <si>
    <t>teorías físicas y Matemáticas aplicadas al de diagnósticos de Morfología y fisiología celular</t>
  </si>
  <si>
    <t>teorías físicas y Matemáticas aplicadas al desarrollo de predicciones en inmunología y biología molecular para el desarrollo de vacunas</t>
  </si>
  <si>
    <t>Didáctica de las matemáticas universitarias</t>
  </si>
  <si>
    <t>Diseńo curricular y evaluación en matemáticas universitarias</t>
  </si>
  <si>
    <t>Herramientas virtuales y enseńanza de las matemáticas universitarias</t>
  </si>
  <si>
    <t>Arte y Tecnología</t>
  </si>
  <si>
    <t>Gestión e Innovación</t>
  </si>
  <si>
    <t>Electrónica y Telecomunicaciones en Salud</t>
  </si>
  <si>
    <t>Sistemas virtuales de comunicación</t>
  </si>
  <si>
    <t>Animación experimental</t>
  </si>
  <si>
    <t>Audio y video</t>
  </si>
  <si>
    <t>Competitividad industrial</t>
  </si>
  <si>
    <t>Innovación y educación en Ingenierěa</t>
  </si>
  <si>
    <t>Productividad industrial</t>
  </si>
  <si>
    <t>Epidemiología General.</t>
  </si>
  <si>
    <t>Formación del Recurso Humano en Salud en Epidemiología y Salud Colectiva</t>
  </si>
  <si>
    <t>Las Tecnologías de la Información y de la comunicación en Epidemiología y Salud Colectiva</t>
  </si>
  <si>
    <t>Medicina tradicional complementaria.</t>
  </si>
  <si>
    <t>Código de Grupo</t>
  </si>
  <si>
    <t xml:space="preserve">COL0110436
</t>
  </si>
  <si>
    <t xml:space="preserve">	COL0151789</t>
  </si>
  <si>
    <t>Pos doctorado</t>
  </si>
  <si>
    <t>Funcion</t>
  </si>
  <si>
    <t>Auxiliar</t>
  </si>
  <si>
    <t>Doc.Acompañante</t>
  </si>
  <si>
    <t>Vinculo</t>
  </si>
  <si>
    <t>* Ingresar los integrantes del proyectos en orden descendente, comenzando por: personal de planta, ocasionales y estudiantes.</t>
  </si>
  <si>
    <t>No. Tutores</t>
  </si>
  <si>
    <t>No. Doc. Acompañantes</t>
  </si>
  <si>
    <t>Nucleo Básico de Conocimiento</t>
  </si>
  <si>
    <t>Programas y certificaciones básicas</t>
  </si>
  <si>
    <t>Alfabetización y aritmética elemental</t>
  </si>
  <si>
    <t>Competencias personales y desarrollo</t>
  </si>
  <si>
    <t>Ciencias de la educación</t>
  </si>
  <si>
    <t>Formación para docentes de educación pre-primaría</t>
  </si>
  <si>
    <t>Formación para docentes sin asignatura de especialización</t>
  </si>
  <si>
    <t>Formación para docentes con asignatura de especialización</t>
  </si>
  <si>
    <t>Técnicas audiovisuales y producción para medios de comunicación</t>
  </si>
  <si>
    <t>Diseño industrial, de modas e interiores</t>
  </si>
  <si>
    <t>Bellas artes</t>
  </si>
  <si>
    <t>Artesanías</t>
  </si>
  <si>
    <t>Música y artes escénicas</t>
  </si>
  <si>
    <t>Religión y Teología</t>
  </si>
  <si>
    <t>Historia y arqueología</t>
  </si>
  <si>
    <t>Filosofía y ética</t>
  </si>
  <si>
    <t>Adquisición del lenguaje</t>
  </si>
  <si>
    <t>Literatura y lingüística</t>
  </si>
  <si>
    <t>Economía</t>
  </si>
  <si>
    <t>Ciencias políticas y educación cívica</t>
  </si>
  <si>
    <t>Psicología</t>
  </si>
  <si>
    <t>Sociología y estudios culturales</t>
  </si>
  <si>
    <t>Periodismo y reportajes</t>
  </si>
  <si>
    <t>Bibliotecología, información y archivología</t>
  </si>
  <si>
    <t>Contabilidad e impuestos</t>
  </si>
  <si>
    <t>Gestión financiera, administración bancaria y seguros</t>
  </si>
  <si>
    <t>Gestión y administración</t>
  </si>
  <si>
    <t>Mercadotecnia y publicidad</t>
  </si>
  <si>
    <t>Secretariado y trabajo de oficina</t>
  </si>
  <si>
    <t>Ventas al por mayor y al por menor</t>
  </si>
  <si>
    <t>Competencias laborales</t>
  </si>
  <si>
    <t>Biología</t>
  </si>
  <si>
    <t>Ciencias del medio ambiente</t>
  </si>
  <si>
    <t>Medio ambiente natural y vida silvestre</t>
  </si>
  <si>
    <t>Química</t>
  </si>
  <si>
    <t>Ciencias de la tierra</t>
  </si>
  <si>
    <t>Física</t>
  </si>
  <si>
    <t>Matemáticas</t>
  </si>
  <si>
    <t>Estadística</t>
  </si>
  <si>
    <t>Uso de computadores</t>
  </si>
  <si>
    <t>Diseño y administración de redes y bases de datos</t>
  </si>
  <si>
    <t>Desarrollo y análisis de software y aplicaciones</t>
  </si>
  <si>
    <t>Ingeniería y procesos químicos</t>
  </si>
  <si>
    <t>Tecnología de protección del medio ambiente</t>
  </si>
  <si>
    <t>Electricidad y energía</t>
  </si>
  <si>
    <t>Electrónica y automatización</t>
  </si>
  <si>
    <t>Mecánica y profesiones afines a la metalistería</t>
  </si>
  <si>
    <t>Vehículos, barcos y aeronaves motorizadas</t>
  </si>
  <si>
    <t>Procesamiento de alimentos</t>
  </si>
  <si>
    <t>Materiales (vidrio, papel, plástico y madera)</t>
  </si>
  <si>
    <t>Producción textiles (ropa, calzado y artículos de cuero)</t>
  </si>
  <si>
    <t>Minería y extracción</t>
  </si>
  <si>
    <t>Arquitectura y urbanismo</t>
  </si>
  <si>
    <t>Construcción e ingeniería civil</t>
  </si>
  <si>
    <t>Producción agrícola y ganadera</t>
  </si>
  <si>
    <t>Horticultura</t>
  </si>
  <si>
    <t>Silvicultura</t>
  </si>
  <si>
    <t>Pesca</t>
  </si>
  <si>
    <t>Veterinaria</t>
  </si>
  <si>
    <t>Odontología</t>
  </si>
  <si>
    <t>Medicina</t>
  </si>
  <si>
    <t>Enfermería y partería</t>
  </si>
  <si>
    <t>Tecnología de diagnóstico y tratamiento médico</t>
  </si>
  <si>
    <t>Terapia y rehabilitación</t>
  </si>
  <si>
    <t>Farmacia</t>
  </si>
  <si>
    <t>Medicina y terapia tradicional y complementaria</t>
  </si>
  <si>
    <t>Asistencia a adultos mayores y discapacitados</t>
  </si>
  <si>
    <t>Asistencia a la infancia y servicios para jóvenes</t>
  </si>
  <si>
    <t>Trabajo social y orientación</t>
  </si>
  <si>
    <t>Servicios domésticos</t>
  </si>
  <si>
    <t>Peluquería y tratamientos de belleza</t>
  </si>
  <si>
    <t>Hotelería, restaurantes y servicios de banquetes</t>
  </si>
  <si>
    <t>Deportes</t>
  </si>
  <si>
    <t>Viajes, turismo y actividades recreativas</t>
  </si>
  <si>
    <t>Saneamiento de la comunidad</t>
  </si>
  <si>
    <t>Salud y protección laboral</t>
  </si>
  <si>
    <t>Educación militar y de defensa</t>
  </si>
  <si>
    <t>Protección de las personas y de la propiedad</t>
  </si>
  <si>
    <t>Servicios de transporte</t>
  </si>
  <si>
    <t>NBC</t>
  </si>
  <si>
    <t>ID NBC</t>
  </si>
  <si>
    <t>Productividad comprometida</t>
  </si>
  <si>
    <t>Articulo Sometido</t>
  </si>
  <si>
    <t xml:space="preserve">Manual </t>
  </si>
  <si>
    <t>Ponencia</t>
  </si>
  <si>
    <t>Productos Obligatorios:</t>
  </si>
  <si>
    <t>2,. Carta anexa con conclusiones y experiencias del estudiante.</t>
  </si>
  <si>
    <t>1,. Informe Final del Proyecto en el formato dispuesto para tal fin.</t>
  </si>
  <si>
    <t>Producto a generar:</t>
  </si>
  <si>
    <t>Nombre :</t>
  </si>
  <si>
    <t>Programa o Departamento de la UMNG al cual pertenece el tutor:</t>
  </si>
  <si>
    <t>Resumen de Proyecto - Maximo 500 Caracteres.</t>
  </si>
  <si>
    <t>Tutor del proyecto</t>
  </si>
  <si>
    <t>8.a</t>
  </si>
  <si>
    <t>8.b</t>
  </si>
  <si>
    <t>13.</t>
  </si>
  <si>
    <t>No puede superar el monto de un millon de pesos</t>
  </si>
  <si>
    <t>Anterior Version : 24 Fer 2017</t>
  </si>
  <si>
    <t>Version : 04 Oct 2017</t>
  </si>
  <si>
    <t>PRESENTACIÓN DE PROYECTOS 
DE INICIACIÓN CIENTIFÍCA 2018 - 2</t>
  </si>
  <si>
    <t>http://scienti.colciencias.gov.co:8085/gruplac/jsp/visualiza/visualizagr.jsp?nro=00000000008436</t>
  </si>
  <si>
    <t>http://scienti.colciencias.gov.co:8085/gruplac/jsp/visualiza/visualizagr.jsp?nro=00000000001366</t>
  </si>
  <si>
    <t>http://scienti.colciencias.gov.co:8085/gruplac/jsp/visualiza/visualizagr.jsp?nro=00000000002208</t>
  </si>
  <si>
    <t>http://scienti.colciencias.gov.co:8085/gruplac/jsp/visualiza/visualizagr.jsp?nro=00000000001399</t>
  </si>
  <si>
    <t>http://scienti.colciencias.gov.co:8085/gruplac/jsp/visualiza/visualizagr.jsp?nro=00000000001127</t>
  </si>
  <si>
    <t>http://scienti.colciencias.gov.co:8085/gruplac/jsp/visualiza/visualizagr.jsp?nro=00000000007907</t>
  </si>
  <si>
    <t>http://scienti.colciencias.gov.co:8085/gruplac/jsp/visualiza/visualizagr.jsp?nro=00000000013845</t>
  </si>
  <si>
    <t>Grupo de Ecotoxicología, Evolución, Medio ambiente y conservación (E = mc2)</t>
  </si>
  <si>
    <t>http://scienti.colciencias.gov.co:8085/gruplac/jsp/visualiza/visualizagr.jsp?nro=00000000002068</t>
  </si>
  <si>
    <t>http://scienti.colciencias.gov.co:8085/gruplac/jsp/visualiza/visualizagr.jsp?nro=00000000005664</t>
  </si>
  <si>
    <t>http://scienti.colciencias.gov.co:8085/gruplac/jsp/visualiza/visualizagr.jsp?nro=00000000006560</t>
  </si>
  <si>
    <t>http://scienti.colciencias.gov.co:8085/gruplac/jsp/visualiza/visualizagr.jsp?nro=00000000008358</t>
  </si>
  <si>
    <t>Grupo de investigación en química ambiental y tecnologías limpias - QUATELI</t>
  </si>
  <si>
    <t>http://scienti.colciencias.gov.co:8085/gruplac/jsp/visualiza/visualizagr.jsp?nro=00000000011141</t>
  </si>
  <si>
    <t>http://scienti.colciencias.gov.co:8085/gruplac/jsp/visualiza/visualizagr.jsp?nro=00000000011130</t>
  </si>
  <si>
    <t>http://scienti.colciencias.gov.co:8085/gruplac/jsp/visualiza/visualizagr.jsp?nro=00000000014082</t>
  </si>
  <si>
    <t>DIVERSITAS</t>
  </si>
  <si>
    <t>COL0178619</t>
  </si>
  <si>
    <t>http://scienti.colciencias.gov.co:8085/gruplac/jsp/visualiza/visualizagr.jsp?nro=00000000018063</t>
  </si>
  <si>
    <t>Nanofab</t>
  </si>
  <si>
    <t>COL0179618</t>
  </si>
  <si>
    <t>http://scienti.colciencias.gov.co:8085/gruplac/jsp/visualiza/visualizagr.jsp?nro=00000000018163</t>
  </si>
  <si>
    <t xml:space="preserve">Grupo de derecho público </t>
  </si>
  <si>
    <t>http://scienti.colciencias.gov.co:8085/gruplac/jsp/visualiza/visualizagr.jsp?nro=00000000001079</t>
  </si>
  <si>
    <t>http://scienti.colciencias.gov.co:8085/gruplac/jsp/visualiza/visualizagr.jsp?nro=00000000012964</t>
  </si>
  <si>
    <t>Red de estudios sociojurídicos comparados y políticas públicas</t>
  </si>
  <si>
    <t>http://scienti.colciencias.gov.co:8085/gruplac/jsp/visualiza/visualizagr.jsp?nro=00000000014449</t>
  </si>
  <si>
    <t>http://scienti.colciencias.gov.co:8085/gruplac/jsp/visualiza/visualizagr.jsp?nro=00000000006477</t>
  </si>
  <si>
    <t>http://scienti.colciencias.gov.co:8085/gruplac/jsp/visualiza/visualizagr.jsp?nro=00000000012918</t>
  </si>
  <si>
    <t>http://scienti.colciencias.gov.co:8085/gruplac/jsp/visualiza/visualizagr.jsp?nro=00000000000929</t>
  </si>
  <si>
    <t>http://scienti.colciencias.gov.co:8085/gruplac/jsp/visualiza/visualizagr.jsp?nro=00000000004308</t>
  </si>
  <si>
    <t>http://scienti.colciencias.gov.co:8085/gruplac/jsp/visualiza/visualizagr.jsp?nro=00000000004242</t>
  </si>
  <si>
    <t>http://scienti.colciencias.gov.co:8085/gruplac/jsp/visualiza/visualizagr.jsp?nro=00000000004423</t>
  </si>
  <si>
    <t>http://scienti.colciencias.gov.co:8085/gruplac/jsp/visualiza/visualizagr.jsp?nro=00000000014438</t>
  </si>
  <si>
    <t>http://scienti.colciencias.gov.co:8085/gruplac/jsp/visualiza/visualizagr.jsp?nro=00000000003322</t>
  </si>
  <si>
    <t>http://scienti.colciencias.gov.co:8085/gruplac/jsp/visualiza/visualizagr.jsp?nro=00000000000855</t>
  </si>
  <si>
    <t>Grupo de estudios contemporáneos en contabilidad, gestión y organizaciones - GECCGO</t>
  </si>
  <si>
    <t>http://scienti.colciencias.gov.co:8085/gruplac/jsp/visualiza/visualizagr.jsp?nro=00000000001069</t>
  </si>
  <si>
    <t>http://scienti.colciencias.gov.co:8085/gruplac/jsp/visualiza/visualizagr.jsp?nro=00000000011887</t>
  </si>
  <si>
    <t>http://scienti.colciencias.gov.co:8085/gruplac/jsp/visualiza/visualizagr.jsp?nro=00000000004270</t>
  </si>
  <si>
    <t>http://scienti.colciencias.gov.co:8085/gruplac/jsp/visualiza/visualizagr.jsp?nro=00000000004263</t>
  </si>
  <si>
    <t>http://scienti.colciencias.gov.co:8085/gruplac/jsp/visualiza/visualizagr.jsp?nro=00000000000744</t>
  </si>
  <si>
    <t>http://scienti.colciencias.gov.co:8085/gruplac/jsp/visualiza/visualizagr.jsp?nro=00000000010165</t>
  </si>
  <si>
    <t>http://scienti.colciencias.gov.co:8085/gruplac/jsp/visualiza/visualizagr.jsp?nro=00000000000740</t>
  </si>
  <si>
    <t>http://scienti.colciencias.gov.co:8085/gruplac/jsp/visualiza/visualizagr.jsp?nro=00000000001353</t>
  </si>
  <si>
    <t>http://scienti.colciencias.gov.co:8085/gruplac/jsp/visualiza/visualizagr.jsp?nro=00000000002706</t>
  </si>
  <si>
    <t>http://scienti.colciencias.gov.co:8085/gruplac/jsp/visualiza/visualizagr.jsp?nro=00000000000739</t>
  </si>
  <si>
    <t>http://scienti.colciencias.gov.co:8085/gruplac/jsp/visualiza/visualizagr.jsp?nro=00000000003508</t>
  </si>
  <si>
    <t>http://scienti.colciencias.gov.co:8085/gruplac/jsp/visualiza/visualizagr.jsp?nro=00000000004193</t>
  </si>
  <si>
    <t>http://scienti.colciencias.gov.co:8085/gruplac/jsp/visualiza/visualizagr.jsp?nro=00000000003290</t>
  </si>
  <si>
    <t>http://scienti.colciencias.gov.co:8085/gruplac/jsp/visualiza/visualizagr.jsp?nro=00000000011773</t>
  </si>
  <si>
    <t>http://scienti.colciencias.gov.co:8085/gruplac/jsp/visualiza/visualizagr.jsp?nro=00000000001843</t>
  </si>
  <si>
    <t>http://scienti.colciencias.gov.co:8085/gruplac/jsp/visualiza/visualizagr.jsp?nro=00000000000737</t>
  </si>
  <si>
    <t>http://scienti.colciencias.gov.co:8085/gruplac/jsp/visualiza/visualizagr.jsp?nro=00000000003044</t>
  </si>
  <si>
    <t>http://scienti.colciencias.gov.co:8085/gruplac/jsp/visualiza/visualizagr.jsp?nro=00000000012996</t>
  </si>
  <si>
    <t>http://scienti.colciencias.gov.co:8085/gruplac/jsp/visualiza/visualizagr.jsp?nro=00000000000767</t>
  </si>
  <si>
    <t>http://scienti.colciencias.gov.co:8085/gruplac/jsp/visualiza/visualizagr.jsp?nro=00000000003506</t>
  </si>
  <si>
    <t>http://scienti.colciencias.gov.co:8085/gruplac/jsp/visualiza/visualizagr.jsp?nro=00000000004391</t>
  </si>
  <si>
    <t>http://scienti.colciencias.gov.co:8085/gruplac/jsp/visualiza/visualizagr.jsp?nro=00000000011817</t>
  </si>
  <si>
    <t>http://scienti.colciencias.gov.co:8085/gruplac/jsp/visualiza/visualizagr.jsp?nro=00000000014576</t>
  </si>
  <si>
    <t>http://scienti.colciencias.gov.co:8085/gruplac/jsp/visualiza/visualizagr.jsp?nro=00000000012813</t>
  </si>
  <si>
    <t>http://scienti.colciencias.gov.co:8085/gruplac/jsp/visualiza/visualizagr.jsp?nro=00000000015386</t>
  </si>
  <si>
    <t>http://scienti.colciencias.gov.co:8085/gruplac/jsp/visualiza/visualizagr.jsp?nro=00000000003253</t>
  </si>
  <si>
    <t>http://scienti.colciencias.gov.co:8085/gruplac/jsp/visualiza/visualizagr.jsp?nro=00000000003064</t>
  </si>
  <si>
    <t>Grupo de Psoriasis e Inmunodermatologia</t>
  </si>
  <si>
    <t>http://scienti.colciencias.gov.co:8085/gruplac/jsp/visualiza/visualizagr.jsp?nro=00000000012737</t>
  </si>
  <si>
    <t>http://scienti.colciencias.gov.co:8085/gruplac/jsp/visualiza/visualizagr.jsp?nro=00000000010842</t>
  </si>
  <si>
    <t>http://scienti.colciencias.gov.co:8085/gruplac/jsp/visualiza/visualizagr.jsp?nro=00000000001536</t>
  </si>
  <si>
    <t>http://scienti.colciencias.gov.co:8085/gruplac/jsp/visualiza/visualizagr.jsp?nro=00000000014072</t>
  </si>
  <si>
    <t>http://scienti.colciencias.gov.co:8085/gruplac/jsp/visualiza/visualizagr.jsp?nro=00000000011753</t>
  </si>
  <si>
    <t>http://scienti.colciencias.gov.co:8085/gruplac/jsp/visualiza/visualizagr.jsp?nro=00000000005735</t>
  </si>
  <si>
    <t>Grupo de Salud Oral y Cirugia Maxilofacial</t>
  </si>
  <si>
    <t>http://scienti.colciencias.gov.co:8085/gruplac/jsp/visualiza/visualizagr.jsp?nro=00000000013172</t>
  </si>
  <si>
    <t>http://scienti.colciencias.gov.co:8085/gruplac/jsp/visualiza/visualizagr.jsp?nro=00000000012649</t>
  </si>
  <si>
    <t>Grupo de Rehabilitacion HOMIC-UMNG</t>
  </si>
  <si>
    <t>http://scienti.colciencias.gov.co:8085/gruplac/jsp/visualiza/visualizagr.jsp?nro=00000000012152</t>
  </si>
  <si>
    <t>http://scienti.colciencias.gov.co:8085/gruplac/jsp/visualiza/visualizagr.jsp?nro=00000000011763</t>
  </si>
  <si>
    <t>http://scienti.colciencias.gov.co:8085/gruplac/jsp/visualiza/visualizagr.jsp?nro=00000000002874</t>
  </si>
  <si>
    <t>http://scienti.colciencias.gov.co:8085/gruplac/jsp/visualiza/visualizagr.jsp?nro=00000000006698</t>
  </si>
  <si>
    <t>http://scienti.colciencias.gov.co:8085/gruplac/jsp/visualiza/visualizagr.jsp?nro=00000000015421</t>
  </si>
  <si>
    <t>http://scienti.colciencias.gov.co:8085/gruplac/jsp/visualiza/visualizagr.jsp?nro=00000000009651</t>
  </si>
  <si>
    <t>http://scienti.colciencias.gov.co:8085/gruplac/jsp/visualiza/visualizagr.jsp?nro=00000000015141</t>
  </si>
  <si>
    <t>http://scienti.colciencias.gov.co:8085/gruplac/jsp/visualiza/visualizagr.jsp?nro=00000000015414</t>
  </si>
  <si>
    <t>http://scienti.colciencias.gov.co:8085/gruplac/jsp/visualiza/visualizagr.jsp?nro=00000000015438</t>
  </si>
  <si>
    <t>Grupo de investigaciones sobre agentes radiológicos, biológicos y químicos</t>
  </si>
  <si>
    <t>COL0191078</t>
  </si>
  <si>
    <t>http://scienti.colciencias.gov.co:8085/gruplac/jsp/visualiza/visualizagr.jsp?nro=00000000019309</t>
  </si>
  <si>
    <t>Linea</t>
  </si>
  <si>
    <t>E:Gp</t>
  </si>
  <si>
    <t>Virus</t>
  </si>
  <si>
    <t>Sistemas Multimedia</t>
  </si>
  <si>
    <t>Metabolismo oseo - bone metabolism</t>
  </si>
  <si>
    <t>Inmunodermatologia</t>
  </si>
  <si>
    <t>Línea en contabilidad integral</t>
  </si>
  <si>
    <t>Bioética, biopolítica y biojurídica</t>
  </si>
  <si>
    <t>Liderazgo</t>
  </si>
  <si>
    <t>Modelación numérica</t>
  </si>
  <si>
    <t>Ordenación del territorio</t>
  </si>
  <si>
    <t>Pavimentos</t>
  </si>
  <si>
    <t>Suelos</t>
  </si>
  <si>
    <t>Transportes</t>
  </si>
  <si>
    <t>Constitución, derecho público y estado</t>
  </si>
  <si>
    <t>Derecho historia y filosofía</t>
  </si>
  <si>
    <t>Derecho internacional, derechos humanos, derecho internacional humanitario</t>
  </si>
  <si>
    <t>Derecho penal y justicia militar</t>
  </si>
  <si>
    <t>Derecho, educación y sociedad</t>
  </si>
  <si>
    <t>Análisis de matrices</t>
  </si>
  <si>
    <t>Filosofía de la ciencia: filosofía de la física</t>
  </si>
  <si>
    <t>Leyes de conservación hiperbólica</t>
  </si>
  <si>
    <t>Matemáticas aplicadas</t>
  </si>
  <si>
    <t>Big Data Analytics</t>
  </si>
  <si>
    <t>Procesamiento de seńales, datos, imagen y video</t>
  </si>
  <si>
    <t>Tele-cardiología y prevención</t>
  </si>
  <si>
    <t>Telemetría (IoT-Routing)</t>
  </si>
  <si>
    <t>Biomecánica</t>
  </si>
  <si>
    <t>Desarrollos mecatrónicos</t>
  </si>
  <si>
    <t>Gerencia Proyectos Ingeniería</t>
  </si>
  <si>
    <t>Derecho de las relaciones internacionales</t>
  </si>
  <si>
    <t>Economía y negocios internacionales</t>
  </si>
  <si>
    <t>Estudios políticos</t>
  </si>
  <si>
    <t>Estudios regionales</t>
  </si>
  <si>
    <t>Historia internacional</t>
  </si>
  <si>
    <t>Relaciones internacionales</t>
  </si>
  <si>
    <t>Filosofía política y responsabilidad social</t>
  </si>
  <si>
    <t>Humanidades, cultura y universidad</t>
  </si>
  <si>
    <t>Bioetica</t>
  </si>
  <si>
    <t>Cerebrovascular</t>
  </si>
  <si>
    <t>Demencias</t>
  </si>
  <si>
    <t>Distonias</t>
  </si>
  <si>
    <t>Enfermedades huerfanas</t>
  </si>
  <si>
    <t>Epilepsia</t>
  </si>
  <si>
    <t>Esclerosis múltiple</t>
  </si>
  <si>
    <t>Movimientos anormales</t>
  </si>
  <si>
    <t>Parálisis cerebral</t>
  </si>
  <si>
    <t>Retardo mental</t>
  </si>
  <si>
    <t>Salud mental</t>
  </si>
  <si>
    <t>Sueño</t>
  </si>
  <si>
    <t>Trastornos del neurodesarrollo</t>
  </si>
  <si>
    <t>Acuaponía, recirculación e hidroponí</t>
  </si>
  <si>
    <t>Biología evolutiva de animales</t>
  </si>
  <si>
    <t>Ecotoxicología</t>
  </si>
  <si>
    <t>Energías alternas y recursos ambientales</t>
  </si>
  <si>
    <t>modelamiento de especies bajo escenario de calentamiento global</t>
  </si>
  <si>
    <t>Materiales alternativos para construcción</t>
  </si>
  <si>
    <t>Educación en ingeniería</t>
  </si>
  <si>
    <t>Evaluación económica y administrativa en ingeniería</t>
  </si>
  <si>
    <t>Geomatica</t>
  </si>
  <si>
    <t>Gerencia de proyectos</t>
  </si>
  <si>
    <t>Procesos estocásticos</t>
  </si>
  <si>
    <t>Productividad e impacto ambiental en proyectos de ingeniería civil (construcción sostenible)</t>
  </si>
  <si>
    <t>Estudios Contemporáneos en Contabilidad y Finanzas</t>
  </si>
  <si>
    <t>Estudios Contemporáneos en Gestión y Organizaciones</t>
  </si>
  <si>
    <t>Dinámica ecológica del zooplancton en el océano pacífico colombiano. Cruceros 2007-2010 de la serie ERFEN (Estudio Regional del Fenómeno el Niño)</t>
  </si>
  <si>
    <t>Química Ambiental y Forense</t>
  </si>
  <si>
    <t>Predicciones físicas y matemáticas en economía</t>
  </si>
  <si>
    <t>Currículo y evaluación</t>
  </si>
  <si>
    <t>Docencia y pedagogía</t>
  </si>
  <si>
    <t>Investigación clínica</t>
  </si>
  <si>
    <t>Modelos de simulación en Ingeniería Civil</t>
  </si>
  <si>
    <t>Educación y sociedad</t>
  </si>
  <si>
    <t>Estudios Disciplinares en Contabilidad</t>
  </si>
  <si>
    <t>Desarrollo Multimedia</t>
  </si>
  <si>
    <t>Narrativas digitales</t>
  </si>
  <si>
    <t>Bioética, derechos humanos y educación</t>
  </si>
  <si>
    <t>Cultura constitucional, paz y justicia transicional</t>
  </si>
  <si>
    <t>Política criminal, derecho penal y criminología</t>
  </si>
  <si>
    <t>Políticas públicas, derecho administrativo y desarrollo</t>
  </si>
  <si>
    <t>Propiedad intelectual y derechos de autor</t>
  </si>
  <si>
    <t>Sociología jurídica, derecho público y teoría jurídica</t>
  </si>
  <si>
    <t>Gestión de la educación y la academia</t>
  </si>
  <si>
    <t>Gestión de la salud publica</t>
  </si>
  <si>
    <t>Gestión de la ética y el conocimiento</t>
  </si>
  <si>
    <t>Aprovechamiento de residuos orgánicos</t>
  </si>
  <si>
    <t>Ecosostenibilidad en procesos de producción</t>
  </si>
  <si>
    <t>Estética del videojuego</t>
  </si>
  <si>
    <t>Ingeniería del terreno, geodesia y geofísica</t>
  </si>
  <si>
    <t>Museología</t>
  </si>
  <si>
    <t>Prevención y control de la contaminación</t>
  </si>
  <si>
    <t>Sensórica y sistemas inteligentes</t>
  </si>
  <si>
    <t>Autoinmunidad y Artritis Reumatoide</t>
  </si>
  <si>
    <t>Espondiloartritis</t>
  </si>
  <si>
    <t>Administración, conservación, y manejo de Recursos Naturales Renovables</t>
  </si>
  <si>
    <t>Bioinnovación y educación</t>
  </si>
  <si>
    <t>Biología de poblaciones y evolutiva de plantas, animales y microorganismos</t>
  </si>
  <si>
    <t>Cambio climático</t>
  </si>
  <si>
    <t>Ecofisiología vegetal, animal y microbiana</t>
  </si>
  <si>
    <t>Servicios ecosistèmicos</t>
  </si>
  <si>
    <t>Biochips</t>
  </si>
  <si>
    <t>Diseño y fabricación de sistemas para producción de nanomateriales</t>
  </si>
  <si>
    <t>Nanofotónica, sensórica y nanotecnología</t>
  </si>
  <si>
    <t>Termo-electrónica</t>
  </si>
  <si>
    <t>Tomografia óptica coherente</t>
  </si>
  <si>
    <t>Enfermedades agudas y cronicas por exposición a agentes químicos y radiológicos</t>
  </si>
  <si>
    <t>Toxinología</t>
  </si>
  <si>
    <t>Elección de grupo de investigaccion</t>
  </si>
  <si>
    <t>Auxi1</t>
  </si>
  <si>
    <t>NN</t>
  </si>
  <si>
    <t>ID</t>
  </si>
  <si>
    <t/>
  </si>
  <si>
    <t>Vrs.09.04</t>
  </si>
  <si>
    <t>Bogotá</t>
  </si>
  <si>
    <t>Campus Nueva Granada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</si>
</sst>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quot;$&quot;\ * #,##0.00_);_(&quot;$&quot;\ * \(#,##0.00\);_(&quot;$&quot;\ * &quot;-&quot;??_);_(@_)"/>
    <numFmt numFmtId="165" formatCode="_(* #,##0.00_);_(* \(#,##0.00\);_(* &quot;-&quot;??_);_(@_)"/>
    <numFmt numFmtId="166" formatCode="&quot;Total &quot;0.0"/>
    <numFmt numFmtId="167" formatCode="_(* #,##0_);_(* \(#,##0\);_(* &quot;-&quot;??_);_(@_)"/>
    <numFmt numFmtId="168" formatCode="&quot;Max Meses: &quot;###"/>
    <numFmt numFmtId="169" formatCode="0.000000000000000000000000"/>
    <numFmt numFmtId="170" formatCode="&quot;Pts.:&quot;###"/>
    <numFmt numFmtId="171" formatCode="&quot;Puntos :&quot;\ 0"/>
    <numFmt numFmtId="172" formatCode=";;;"/>
    <numFmt numFmtId="173" formatCode=";;"/>
  </numFmts>
  <fonts count="57" x14ac:knownFonts="1">
    <font>
      <sz val="11"/>
      <color theme="1"/>
      <name val="Calibri"/>
      <family val="2"/>
      <scheme val="minor"/>
    </font>
    <font>
      <b/>
      <sz val="11"/>
      <color theme="1"/>
      <name val="Calibri"/>
      <family val="2"/>
      <scheme val="minor"/>
    </font>
    <font>
      <b/>
      <sz val="9"/>
      <color indexed="81"/>
      <name val="Tahoma"/>
      <family val="2"/>
    </font>
    <font>
      <sz val="9"/>
      <color indexed="81"/>
      <name val="Tahoma"/>
      <family val="2"/>
    </font>
    <font>
      <b/>
      <sz val="14"/>
      <color theme="1"/>
      <name val="Arial"/>
      <family val="2"/>
    </font>
    <font>
      <b/>
      <sz val="11"/>
      <color rgb="FF000000"/>
      <name val="Arial"/>
      <family val="2"/>
    </font>
    <font>
      <sz val="12"/>
      <color theme="1"/>
      <name val="Calibri"/>
      <family val="2"/>
      <scheme val="minor"/>
    </font>
    <font>
      <sz val="11"/>
      <color rgb="FF000000"/>
      <name val="Arial"/>
      <family val="2"/>
    </font>
    <font>
      <sz val="11"/>
      <color theme="0" tint="-0.14999847407452621"/>
      <name val="Calibri"/>
      <family val="2"/>
      <scheme val="minor"/>
    </font>
    <font>
      <sz val="14"/>
      <color theme="1"/>
      <name val="Calibri"/>
      <family val="2"/>
      <scheme val="minor"/>
    </font>
    <font>
      <sz val="11"/>
      <color theme="0" tint="-0.34998626667073579"/>
      <name val="Calibri"/>
      <family val="2"/>
      <scheme val="minor"/>
    </font>
    <font>
      <b/>
      <sz val="12"/>
      <color theme="8" tint="0.59999389629810485"/>
      <name val="Calibri"/>
      <family val="2"/>
      <scheme val="minor"/>
    </font>
    <font>
      <sz val="11"/>
      <color theme="0" tint="-0.499984740745262"/>
      <name val="Calibri"/>
      <family val="2"/>
      <scheme val="minor"/>
    </font>
    <font>
      <sz val="16"/>
      <color theme="8" tint="0.59999389629810485"/>
      <name val="Calibri"/>
      <family val="2"/>
      <scheme val="minor"/>
    </font>
    <font>
      <b/>
      <sz val="12"/>
      <color indexed="81"/>
      <name val="Tahoma"/>
      <family val="2"/>
    </font>
    <font>
      <sz val="12"/>
      <color indexed="81"/>
      <name val="Tahoma"/>
      <family val="2"/>
    </font>
    <font>
      <sz val="10"/>
      <color theme="2" tint="-0.249977111117893"/>
      <name val="Calibri"/>
      <family val="2"/>
      <scheme val="minor"/>
    </font>
    <font>
      <b/>
      <sz val="12"/>
      <color theme="1"/>
      <name val="Calibri"/>
      <family val="2"/>
      <scheme val="minor"/>
    </font>
    <font>
      <sz val="12"/>
      <color rgb="FFC0ECFC"/>
      <name val="Calibri"/>
      <family val="2"/>
      <scheme val="minor"/>
    </font>
    <font>
      <b/>
      <sz val="14"/>
      <color indexed="81"/>
      <name val="Tahoma"/>
      <family val="2"/>
    </font>
    <font>
      <sz val="14"/>
      <color indexed="81"/>
      <name val="Tahoma"/>
      <family val="2"/>
    </font>
    <font>
      <b/>
      <sz val="12"/>
      <color rgb="FFFFFF00"/>
      <name val="Calibri"/>
      <family val="2"/>
      <scheme val="minor"/>
    </font>
    <font>
      <b/>
      <sz val="11"/>
      <color indexed="81"/>
      <name val="Tahoma"/>
      <family val="2"/>
    </font>
    <font>
      <sz val="11"/>
      <color indexed="81"/>
      <name val="Tahoma"/>
      <family val="2"/>
    </font>
    <font>
      <sz val="11"/>
      <color theme="1"/>
      <name val="Calibri"/>
      <family val="2"/>
      <scheme val="minor"/>
    </font>
    <font>
      <sz val="18"/>
      <color theme="1"/>
      <name val="Calibri"/>
      <family val="2"/>
      <scheme val="minor"/>
    </font>
    <font>
      <sz val="11"/>
      <color rgb="FFFFFF00"/>
      <name val="Calibri"/>
      <family val="2"/>
      <scheme val="minor"/>
    </font>
    <font>
      <sz val="12"/>
      <color indexed="10"/>
      <name val="Tahoma"/>
      <family val="2"/>
    </font>
    <font>
      <sz val="10"/>
      <color theme="1"/>
      <name val="Calibri"/>
      <family val="2"/>
      <scheme val="minor"/>
    </font>
    <font>
      <sz val="11"/>
      <color theme="1"/>
      <name val="Arial Narrow"/>
      <family val="2"/>
    </font>
    <font>
      <u/>
      <sz val="11"/>
      <color theme="1"/>
      <name val="Calibri"/>
      <family val="2"/>
      <scheme val="minor"/>
    </font>
    <font>
      <b/>
      <sz val="16"/>
      <color indexed="81"/>
      <name val="Tahoma"/>
      <family val="2"/>
    </font>
    <font>
      <sz val="16"/>
      <color indexed="81"/>
      <name val="Tahoma"/>
      <family val="2"/>
    </font>
    <font>
      <sz val="16"/>
      <color theme="1"/>
      <name val="Calibri"/>
      <family val="2"/>
      <scheme val="minor"/>
    </font>
    <font>
      <sz val="11"/>
      <color rgb="FFFF0000"/>
      <name val="Calibri"/>
      <family val="2"/>
      <scheme val="minor"/>
    </font>
    <font>
      <sz val="11"/>
      <color theme="0"/>
      <name val="Calibri"/>
      <family val="2"/>
      <scheme val="minor"/>
    </font>
    <font>
      <sz val="11"/>
      <color theme="0" tint="-0.249977111117893"/>
      <name val="Calibri"/>
      <family val="2"/>
      <scheme val="minor"/>
    </font>
    <font>
      <u/>
      <sz val="11"/>
      <color theme="10"/>
      <name val="Calibri"/>
      <family val="2"/>
      <scheme val="minor"/>
    </font>
    <font>
      <sz val="11"/>
      <color theme="2" tint="-0.89999084444715716"/>
      <name val="Calibri"/>
      <family val="2"/>
      <scheme val="minor"/>
    </font>
    <font>
      <u/>
      <sz val="12"/>
      <color indexed="81"/>
      <name val="Tahoma"/>
      <family val="2"/>
    </font>
    <font>
      <b/>
      <sz val="11"/>
      <color rgb="FF00FFFF"/>
      <name val="Calibri"/>
      <family val="2"/>
      <scheme val="minor"/>
    </font>
    <font>
      <sz val="12"/>
      <color rgb="FF00FFFF"/>
      <name val="Calibri"/>
      <family val="2"/>
      <scheme val="minor"/>
    </font>
    <font>
      <b/>
      <i/>
      <sz val="11"/>
      <color rgb="FF00FFFF"/>
      <name val="Calibri"/>
      <family val="2"/>
      <scheme val="minor"/>
    </font>
    <font>
      <b/>
      <u/>
      <sz val="12"/>
      <color indexed="81"/>
      <name val="Tahoma"/>
      <family val="2"/>
    </font>
    <font>
      <b/>
      <sz val="12"/>
      <color theme="1"/>
      <name val="Arial"/>
      <family val="2"/>
    </font>
    <font>
      <b/>
      <sz val="16"/>
      <color rgb="FFFFFF00"/>
      <name val="Calibri"/>
      <family val="2"/>
      <scheme val="minor"/>
    </font>
    <font>
      <b/>
      <sz val="11"/>
      <color theme="0" tint="-0.34998626667073579"/>
      <name val="Calibri"/>
      <family val="2"/>
      <scheme val="minor"/>
    </font>
    <font>
      <sz val="11"/>
      <color theme="0" tint="-4.9989318521683403E-2"/>
      <name val="Calibri"/>
      <family val="2"/>
      <scheme val="minor"/>
    </font>
    <font>
      <sz val="11"/>
      <color theme="1" tint="0.34998626667073579"/>
      <name val="Calibri"/>
      <family val="2"/>
      <scheme val="minor"/>
    </font>
    <font>
      <b/>
      <u/>
      <sz val="14"/>
      <color theme="1"/>
      <name val="Calibri"/>
      <family val="2"/>
      <scheme val="minor"/>
    </font>
    <font>
      <b/>
      <sz val="10"/>
      <color theme="1"/>
      <name val="Calibri"/>
      <family val="2"/>
      <scheme val="minor"/>
    </font>
    <font>
      <b/>
      <sz val="11"/>
      <color rgb="FFFF0000"/>
      <name val="Calibri"/>
      <family val="2"/>
      <scheme val="minor"/>
    </font>
    <font>
      <sz val="14"/>
      <color rgb="FFFF0000"/>
      <name val="Calibri"/>
      <family val="2"/>
      <scheme val="minor"/>
    </font>
    <font>
      <sz val="20"/>
      <color theme="1"/>
      <name val="Calibri"/>
      <family val="2"/>
      <scheme val="minor"/>
    </font>
    <font>
      <sz val="11"/>
      <color theme="1" tint="0.34998626667073579"/>
      <name val="Arial"/>
      <family val="2"/>
    </font>
    <font>
      <sz val="11"/>
      <color rgb="FF000000"/>
      <name val="Calibri"/>
      <family val="2"/>
      <scheme val="minor"/>
    </font>
    <font>
      <b/>
      <sz val="11"/>
      <color theme="0"/>
      <name val="Calibri"/>
      <family val="2"/>
      <scheme val="minor"/>
    </font>
  </fonts>
  <fills count="19">
    <fill>
      <patternFill patternType="none"/>
    </fill>
    <fill>
      <patternFill patternType="gray125"/>
    </fill>
    <fill>
      <patternFill patternType="solid">
        <fgColor theme="7"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B0F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399975585192419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rgb="FF92D050"/>
        <bgColor indexed="64"/>
      </patternFill>
    </fill>
  </fills>
  <borders count="195">
    <border>
      <left/>
      <right/>
      <top/>
      <bottom/>
      <diagonal/>
    </border>
    <border>
      <left/>
      <right/>
      <top/>
      <bottom style="double">
        <color auto="1"/>
      </bottom>
      <diagonal/>
    </border>
    <border>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top/>
      <bottom style="thin">
        <color auto="1"/>
      </bottom>
      <diagonal/>
    </border>
    <border>
      <left/>
      <right style="thin">
        <color auto="1"/>
      </right>
      <top/>
      <bottom/>
      <diagonal/>
    </border>
    <border>
      <left style="thin">
        <color auto="1"/>
      </left>
      <right style="thin">
        <color auto="1"/>
      </right>
      <top style="thin">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rgb="FF002060"/>
      </bottom>
      <diagonal/>
    </border>
    <border>
      <left style="thin">
        <color rgb="FF002060"/>
      </left>
      <right style="hair">
        <color rgb="FF002060"/>
      </right>
      <top style="thin">
        <color rgb="FF002060"/>
      </top>
      <bottom style="thin">
        <color rgb="FF002060"/>
      </bottom>
      <diagonal/>
    </border>
    <border>
      <left style="hair">
        <color rgb="FF002060"/>
      </left>
      <right style="hair">
        <color rgb="FF002060"/>
      </right>
      <top style="thin">
        <color rgb="FF002060"/>
      </top>
      <bottom style="thin">
        <color rgb="FF002060"/>
      </bottom>
      <diagonal/>
    </border>
    <border>
      <left style="hair">
        <color rgb="FF002060"/>
      </left>
      <right/>
      <top style="thin">
        <color rgb="FF002060"/>
      </top>
      <bottom style="thin">
        <color rgb="FF002060"/>
      </bottom>
      <diagonal/>
    </border>
    <border>
      <left/>
      <right style="hair">
        <color rgb="FF002060"/>
      </right>
      <top style="thin">
        <color rgb="FF002060"/>
      </top>
      <bottom style="thin">
        <color rgb="FF002060"/>
      </bottom>
      <diagonal/>
    </border>
    <border>
      <left style="hair">
        <color rgb="FF002060"/>
      </left>
      <right style="thin">
        <color rgb="FF002060"/>
      </right>
      <top style="thin">
        <color rgb="FF002060"/>
      </top>
      <bottom style="thin">
        <color rgb="FF002060"/>
      </bottom>
      <diagonal/>
    </border>
    <border>
      <left style="hair">
        <color auto="1"/>
      </left>
      <right style="hair">
        <color auto="1"/>
      </right>
      <top/>
      <bottom style="hair">
        <color auto="1"/>
      </bottom>
      <diagonal/>
    </border>
    <border>
      <left style="hair">
        <color auto="1"/>
      </left>
      <right/>
      <top style="thin">
        <color rgb="FF002060"/>
      </top>
      <bottom style="hair">
        <color auto="1"/>
      </bottom>
      <diagonal/>
    </border>
    <border>
      <left/>
      <right style="hair">
        <color auto="1"/>
      </right>
      <top style="thin">
        <color rgb="FF002060"/>
      </top>
      <bottom style="hair">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right style="thin">
        <color auto="1"/>
      </right>
      <top style="hair">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style="hair">
        <color auto="1"/>
      </right>
      <top style="medium">
        <color auto="1"/>
      </top>
      <bottom style="double">
        <color auto="1"/>
      </bottom>
      <diagonal/>
    </border>
    <border>
      <left style="hair">
        <color auto="1"/>
      </left>
      <right style="hair">
        <color auto="1"/>
      </right>
      <top style="medium">
        <color auto="1"/>
      </top>
      <bottom style="double">
        <color auto="1"/>
      </bottom>
      <diagonal/>
    </border>
    <border>
      <left style="hair">
        <color auto="1"/>
      </left>
      <right style="medium">
        <color auto="1"/>
      </right>
      <top style="medium">
        <color auto="1"/>
      </top>
      <bottom style="double">
        <color auto="1"/>
      </bottom>
      <diagonal/>
    </border>
    <border>
      <left style="medium">
        <color auto="1"/>
      </left>
      <right style="hair">
        <color auto="1"/>
      </right>
      <top/>
      <bottom style="hair">
        <color auto="1"/>
      </bottom>
      <diagonal/>
    </border>
    <border>
      <left style="hair">
        <color auto="1"/>
      </left>
      <right/>
      <top style="double">
        <color auto="1"/>
      </top>
      <bottom style="hair">
        <color auto="1"/>
      </bottom>
      <diagonal/>
    </border>
    <border>
      <left/>
      <right style="medium">
        <color auto="1"/>
      </right>
      <top style="double">
        <color auto="1"/>
      </top>
      <bottom style="hair">
        <color auto="1"/>
      </bottom>
      <diagonal/>
    </border>
    <border>
      <left style="medium">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top style="hair">
        <color auto="1"/>
      </top>
      <bottom style="medium">
        <color auto="1"/>
      </bottom>
      <diagonal/>
    </border>
    <border>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right style="medium">
        <color auto="1"/>
      </right>
      <top style="hair">
        <color auto="1"/>
      </top>
      <bottom style="medium">
        <color auto="1"/>
      </bottom>
      <diagonal/>
    </border>
    <border>
      <left style="hair">
        <color indexed="64"/>
      </left>
      <right/>
      <top style="medium">
        <color indexed="64"/>
      </top>
      <bottom style="double">
        <color indexed="64"/>
      </bottom>
      <diagonal/>
    </border>
    <border>
      <left/>
      <right/>
      <top style="medium">
        <color auto="1"/>
      </top>
      <bottom style="double">
        <color auto="1"/>
      </bottom>
      <diagonal/>
    </border>
    <border>
      <left/>
      <right style="medium">
        <color auto="1"/>
      </right>
      <top style="medium">
        <color auto="1"/>
      </top>
      <bottom style="double">
        <color auto="1"/>
      </bottom>
      <diagonal/>
    </border>
    <border>
      <left/>
      <right/>
      <top style="hair">
        <color auto="1"/>
      </top>
      <bottom style="hair">
        <color indexed="64"/>
      </bottom>
      <diagonal/>
    </border>
    <border>
      <left/>
      <right/>
      <top style="hair">
        <color auto="1"/>
      </top>
      <bottom style="medium">
        <color indexed="64"/>
      </bottom>
      <diagonal/>
    </border>
    <border>
      <left style="double">
        <color auto="1"/>
      </left>
      <right style="hair">
        <color auto="1"/>
      </right>
      <top style="medium">
        <color auto="1"/>
      </top>
      <bottom style="double">
        <color auto="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double">
        <color auto="1"/>
      </left>
      <right style="hair">
        <color auto="1"/>
      </right>
      <top/>
      <bottom style="hair">
        <color auto="1"/>
      </bottom>
      <diagonal/>
    </border>
    <border>
      <left style="hair">
        <color indexed="64"/>
      </left>
      <right style="medium">
        <color indexed="64"/>
      </right>
      <top/>
      <bottom style="hair">
        <color indexed="64"/>
      </bottom>
      <diagonal/>
    </border>
    <border>
      <left style="thin">
        <color indexed="64"/>
      </left>
      <right style="thin">
        <color indexed="64"/>
      </right>
      <top style="hair">
        <color auto="1"/>
      </top>
      <bottom style="hair">
        <color auto="1"/>
      </bottom>
      <diagonal/>
    </border>
    <border>
      <left style="hair">
        <color indexed="64"/>
      </left>
      <right style="medium">
        <color indexed="64"/>
      </right>
      <top style="hair">
        <color indexed="64"/>
      </top>
      <bottom style="hair">
        <color indexed="64"/>
      </bottom>
      <diagonal/>
    </border>
    <border>
      <left style="medium">
        <color auto="1"/>
      </left>
      <right style="hair">
        <color auto="1"/>
      </right>
      <top style="hair">
        <color auto="1"/>
      </top>
      <bottom style="double">
        <color theme="1" tint="0.499984740745262"/>
      </bottom>
      <diagonal/>
    </border>
    <border>
      <left style="hair">
        <color auto="1"/>
      </left>
      <right style="hair">
        <color auto="1"/>
      </right>
      <top style="hair">
        <color auto="1"/>
      </top>
      <bottom style="double">
        <color theme="1" tint="0.499984740745262"/>
      </bottom>
      <diagonal/>
    </border>
    <border>
      <left style="thin">
        <color indexed="64"/>
      </left>
      <right style="thin">
        <color indexed="64"/>
      </right>
      <top style="hair">
        <color auto="1"/>
      </top>
      <bottom style="thin">
        <color indexed="64"/>
      </bottom>
      <diagonal/>
    </border>
    <border>
      <left style="hair">
        <color indexed="64"/>
      </left>
      <right style="medium">
        <color indexed="64"/>
      </right>
      <top style="hair">
        <color auto="1"/>
      </top>
      <bottom style="double">
        <color theme="1" tint="0.499984740745262"/>
      </bottom>
      <diagonal/>
    </border>
    <border>
      <left style="medium">
        <color auto="1"/>
      </left>
      <right style="hair">
        <color auto="1"/>
      </right>
      <top/>
      <bottom style="medium">
        <color auto="1"/>
      </bottom>
      <diagonal/>
    </border>
    <border>
      <left style="hair">
        <color auto="1"/>
      </left>
      <right/>
      <top style="double">
        <color theme="1" tint="0.499984740745262"/>
      </top>
      <bottom style="medium">
        <color auto="1"/>
      </bottom>
      <diagonal/>
    </border>
    <border>
      <left/>
      <right/>
      <top style="double">
        <color theme="1" tint="0.499984740745262"/>
      </top>
      <bottom style="medium">
        <color auto="1"/>
      </bottom>
      <diagonal/>
    </border>
    <border>
      <left style="hair">
        <color auto="1"/>
      </left>
      <right style="hair">
        <color auto="1"/>
      </right>
      <top/>
      <bottom style="medium">
        <color auto="1"/>
      </bottom>
      <diagonal/>
    </border>
    <border>
      <left style="hair">
        <color indexed="64"/>
      </left>
      <right style="medium">
        <color indexed="64"/>
      </right>
      <top/>
      <bottom style="medium">
        <color indexed="64"/>
      </bottom>
      <diagonal/>
    </border>
    <border>
      <left style="medium">
        <color auto="1"/>
      </left>
      <right style="hair">
        <color auto="1"/>
      </right>
      <top/>
      <bottom/>
      <diagonal/>
    </border>
    <border>
      <left style="hair">
        <color auto="1"/>
      </left>
      <right style="hair">
        <color auto="1"/>
      </right>
      <top/>
      <bottom/>
      <diagonal/>
    </border>
    <border>
      <left style="hair">
        <color indexed="64"/>
      </left>
      <right style="medium">
        <color indexed="64"/>
      </right>
      <top/>
      <bottom/>
      <diagonal/>
    </border>
    <border>
      <left style="medium">
        <color auto="1"/>
      </left>
      <right/>
      <top style="double">
        <color auto="1"/>
      </top>
      <bottom style="medium">
        <color indexed="64"/>
      </bottom>
      <diagonal/>
    </border>
    <border>
      <left/>
      <right/>
      <top style="double">
        <color auto="1"/>
      </top>
      <bottom style="medium">
        <color indexed="64"/>
      </bottom>
      <diagonal/>
    </border>
    <border>
      <left style="hair">
        <color auto="1"/>
      </left>
      <right style="hair">
        <color auto="1"/>
      </right>
      <top style="double">
        <color auto="1"/>
      </top>
      <bottom style="medium">
        <color indexed="64"/>
      </bottom>
      <diagonal/>
    </border>
    <border>
      <left style="hair">
        <color auto="1"/>
      </left>
      <right style="medium">
        <color indexed="64"/>
      </right>
      <top style="double">
        <color auto="1"/>
      </top>
      <bottom style="medium">
        <color indexed="64"/>
      </bottom>
      <diagonal/>
    </border>
    <border>
      <left style="double">
        <color theme="7" tint="-0.24994659260841701"/>
      </left>
      <right/>
      <top style="double">
        <color theme="7" tint="-0.24994659260841701"/>
      </top>
      <bottom style="double">
        <color theme="7" tint="-0.24994659260841701"/>
      </bottom>
      <diagonal/>
    </border>
    <border>
      <left/>
      <right/>
      <top style="double">
        <color theme="7" tint="-0.24994659260841701"/>
      </top>
      <bottom style="double">
        <color theme="7" tint="-0.24994659260841701"/>
      </bottom>
      <diagonal/>
    </border>
    <border>
      <left/>
      <right style="double">
        <color theme="7" tint="-0.24994659260841701"/>
      </right>
      <top style="double">
        <color theme="7" tint="-0.24994659260841701"/>
      </top>
      <bottom style="double">
        <color theme="7" tint="-0.24994659260841701"/>
      </bottom>
      <diagonal/>
    </border>
    <border>
      <left style="medium">
        <color auto="1"/>
      </left>
      <right/>
      <top style="medium">
        <color auto="1"/>
      </top>
      <bottom style="double">
        <color auto="1"/>
      </bottom>
      <diagonal/>
    </border>
    <border>
      <left style="medium">
        <color theme="2" tint="-0.24994659260841701"/>
      </left>
      <right/>
      <top style="medium">
        <color auto="1"/>
      </top>
      <bottom style="double">
        <color auto="1"/>
      </bottom>
      <diagonal/>
    </border>
    <border>
      <left style="medium">
        <color auto="1"/>
      </left>
      <right/>
      <top/>
      <bottom style="hair">
        <color theme="2" tint="-0.749961851863155"/>
      </bottom>
      <diagonal/>
    </border>
    <border>
      <left style="medium">
        <color theme="2" tint="-0.24994659260841701"/>
      </left>
      <right/>
      <top/>
      <bottom style="hair">
        <color theme="2" tint="-0.749961851863155"/>
      </bottom>
      <diagonal/>
    </border>
    <border>
      <left/>
      <right/>
      <top/>
      <bottom style="hair">
        <color theme="2" tint="-0.749961851863155"/>
      </bottom>
      <diagonal/>
    </border>
    <border>
      <left/>
      <right style="medium">
        <color auto="1"/>
      </right>
      <top/>
      <bottom style="hair">
        <color theme="2" tint="-0.749961851863155"/>
      </bottom>
      <diagonal/>
    </border>
    <border>
      <left style="medium">
        <color auto="1"/>
      </left>
      <right/>
      <top style="hair">
        <color theme="2" tint="-0.749961851863155"/>
      </top>
      <bottom style="hair">
        <color theme="2" tint="-0.749961851863155"/>
      </bottom>
      <diagonal/>
    </border>
    <border>
      <left style="medium">
        <color theme="2" tint="-0.24994659260841701"/>
      </left>
      <right/>
      <top style="hair">
        <color theme="2" tint="-0.749961851863155"/>
      </top>
      <bottom style="hair">
        <color theme="2" tint="-0.749961851863155"/>
      </bottom>
      <diagonal/>
    </border>
    <border>
      <left/>
      <right/>
      <top style="hair">
        <color theme="2" tint="-0.749961851863155"/>
      </top>
      <bottom style="hair">
        <color theme="2" tint="-0.749961851863155"/>
      </bottom>
      <diagonal/>
    </border>
    <border>
      <left/>
      <right style="medium">
        <color auto="1"/>
      </right>
      <top style="hair">
        <color theme="2" tint="-0.749961851863155"/>
      </top>
      <bottom style="hair">
        <color theme="2" tint="-0.749961851863155"/>
      </bottom>
      <diagonal/>
    </border>
    <border>
      <left style="medium">
        <color auto="1"/>
      </left>
      <right/>
      <top style="hair">
        <color theme="2" tint="-0.749961851863155"/>
      </top>
      <bottom style="medium">
        <color auto="1"/>
      </bottom>
      <diagonal/>
    </border>
    <border>
      <left style="medium">
        <color theme="2" tint="-0.24994659260841701"/>
      </left>
      <right/>
      <top style="hair">
        <color theme="2" tint="-0.749961851863155"/>
      </top>
      <bottom style="medium">
        <color auto="1"/>
      </bottom>
      <diagonal/>
    </border>
    <border>
      <left/>
      <right/>
      <top style="hair">
        <color theme="2" tint="-0.749961851863155"/>
      </top>
      <bottom style="medium">
        <color auto="1"/>
      </bottom>
      <diagonal/>
    </border>
    <border>
      <left/>
      <right style="medium">
        <color auto="1"/>
      </right>
      <top style="hair">
        <color theme="2" tint="-0.749961851863155"/>
      </top>
      <bottom style="medium">
        <color auto="1"/>
      </bottom>
      <diagonal/>
    </border>
    <border>
      <left style="slantDashDot">
        <color auto="1"/>
      </left>
      <right style="thin">
        <color auto="1"/>
      </right>
      <top style="slantDashDot">
        <color auto="1"/>
      </top>
      <bottom style="thin">
        <color auto="1"/>
      </bottom>
      <diagonal/>
    </border>
    <border>
      <left style="slantDashDot">
        <color auto="1"/>
      </left>
      <right style="thin">
        <color auto="1"/>
      </right>
      <top style="thin">
        <color auto="1"/>
      </top>
      <bottom style="thin">
        <color auto="1"/>
      </bottom>
      <diagonal/>
    </border>
    <border>
      <left style="slantDashDot">
        <color auto="1"/>
      </left>
      <right style="thin">
        <color auto="1"/>
      </right>
      <top style="thin">
        <color auto="1"/>
      </top>
      <bottom style="slantDashDot">
        <color auto="1"/>
      </bottom>
      <diagonal/>
    </border>
    <border>
      <left style="thin">
        <color indexed="64"/>
      </left>
      <right/>
      <top/>
      <bottom style="double">
        <color theme="1" tint="0.499984740745262"/>
      </bottom>
      <diagonal/>
    </border>
    <border>
      <left/>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right style="hair">
        <color auto="1"/>
      </right>
      <top style="hair">
        <color auto="1"/>
      </top>
      <bottom style="double">
        <color theme="1" tint="0.499984740745262"/>
      </bottom>
      <diagonal/>
    </border>
    <border>
      <left/>
      <right style="thin">
        <color indexed="64"/>
      </right>
      <top/>
      <bottom style="double">
        <color theme="1" tint="0.499984740745262"/>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double">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style="medium">
        <color auto="1"/>
      </right>
      <top/>
      <bottom style="hair">
        <color indexed="64"/>
      </bottom>
      <diagonal/>
    </border>
    <border>
      <left style="thin">
        <color auto="1"/>
      </left>
      <right style="medium">
        <color auto="1"/>
      </right>
      <top style="medium">
        <color auto="1"/>
      </top>
      <bottom style="double">
        <color auto="1"/>
      </bottom>
      <diagonal/>
    </border>
    <border>
      <left style="thin">
        <color auto="1"/>
      </left>
      <right style="medium">
        <color auto="1"/>
      </right>
      <top/>
      <bottom style="hair">
        <color indexed="64"/>
      </bottom>
      <diagonal/>
    </border>
    <border>
      <left/>
      <right style="medium">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right style="medium">
        <color auto="1"/>
      </right>
      <top/>
      <bottom style="thin">
        <color auto="1"/>
      </bottom>
      <diagonal/>
    </border>
    <border>
      <left style="medium">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slantDashDot">
        <color auto="1"/>
      </left>
      <right style="thin">
        <color auto="1"/>
      </right>
      <top/>
      <bottom style="thin">
        <color auto="1"/>
      </bottom>
      <diagonal/>
    </border>
    <border>
      <left style="slantDashDot">
        <color auto="1"/>
      </left>
      <right style="thin">
        <color auto="1"/>
      </right>
      <top style="thin">
        <color auto="1"/>
      </top>
      <bottom/>
      <diagonal/>
    </border>
    <border>
      <left/>
      <right style="slantDashDot">
        <color auto="1"/>
      </right>
      <top style="thin">
        <color auto="1"/>
      </top>
      <bottom style="thin">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slantDashDot">
        <color auto="1"/>
      </right>
      <top style="medium">
        <color indexed="64"/>
      </top>
      <bottom style="thin">
        <color auto="1"/>
      </bottom>
      <diagonal/>
    </border>
    <border>
      <left style="medium">
        <color auto="1"/>
      </left>
      <right style="medium">
        <color auto="1"/>
      </right>
      <top/>
      <bottom/>
      <diagonal/>
    </border>
    <border>
      <left/>
      <right/>
      <top/>
      <bottom style="hair">
        <color indexed="64"/>
      </bottom>
      <diagonal/>
    </border>
    <border>
      <left style="hair">
        <color auto="1"/>
      </left>
      <right style="medium">
        <color auto="1"/>
      </right>
      <top style="hair">
        <color auto="1"/>
      </top>
      <bottom style="medium">
        <color auto="1"/>
      </bottom>
      <diagonal/>
    </border>
    <border>
      <left style="medium">
        <color auto="1"/>
      </left>
      <right style="thin">
        <color auto="1"/>
      </right>
      <top style="medium">
        <color auto="1"/>
      </top>
      <bottom style="double">
        <color auto="1"/>
      </bottom>
      <diagonal/>
    </border>
    <border>
      <left/>
      <right style="medium">
        <color indexed="64"/>
      </right>
      <top style="medium">
        <color indexed="64"/>
      </top>
      <bottom style="thin">
        <color auto="1"/>
      </bottom>
      <diagonal/>
    </border>
    <border>
      <left/>
      <right style="medium">
        <color indexed="64"/>
      </right>
      <top style="thin">
        <color auto="1"/>
      </top>
      <bottom style="medium">
        <color indexed="64"/>
      </bottom>
      <diagonal/>
    </border>
    <border>
      <left style="thin">
        <color theme="1" tint="0.14996795556505021"/>
      </left>
      <right style="hair">
        <color auto="1"/>
      </right>
      <top style="double">
        <color theme="1" tint="0.499984740745262"/>
      </top>
      <bottom style="medium">
        <color auto="1"/>
      </bottom>
      <diagonal/>
    </border>
    <border>
      <left style="hair">
        <color auto="1"/>
      </left>
      <right style="hair">
        <color auto="1"/>
      </right>
      <top style="hair">
        <color auto="1"/>
      </top>
      <bottom/>
      <diagonal/>
    </border>
    <border>
      <left style="medium">
        <color indexed="64"/>
      </left>
      <right style="medium">
        <color indexed="64"/>
      </right>
      <top style="medium">
        <color indexed="64"/>
      </top>
      <bottom style="hair">
        <color auto="1"/>
      </bottom>
      <diagonal/>
    </border>
    <border>
      <left style="medium">
        <color indexed="64"/>
      </left>
      <right style="medium">
        <color indexed="64"/>
      </right>
      <top style="hair">
        <color auto="1"/>
      </top>
      <bottom style="medium">
        <color indexed="64"/>
      </bottom>
      <diagonal/>
    </border>
    <border>
      <left style="hair">
        <color auto="1"/>
      </left>
      <right style="thin">
        <color auto="1"/>
      </right>
      <top style="thin">
        <color rgb="FF002060"/>
      </top>
      <bottom style="hair">
        <color auto="1"/>
      </bottom>
      <diagonal/>
    </border>
    <border>
      <left style="hair">
        <color auto="1"/>
      </left>
      <right style="hair">
        <color auto="1"/>
      </right>
      <top style="thin">
        <color rgb="FF002060"/>
      </top>
      <bottom style="hair">
        <color auto="1"/>
      </bottom>
      <diagonal/>
    </border>
    <border>
      <left style="slantDashDot">
        <color auto="1"/>
      </left>
      <right/>
      <top style="slantDashDot">
        <color auto="1"/>
      </top>
      <bottom style="thin">
        <color auto="1"/>
      </bottom>
      <diagonal/>
    </border>
    <border>
      <left style="slantDashDot">
        <color auto="1"/>
      </left>
      <right/>
      <top style="thin">
        <color auto="1"/>
      </top>
      <bottom style="thin">
        <color auto="1"/>
      </bottom>
      <diagonal/>
    </border>
    <border>
      <left style="slantDashDot">
        <color auto="1"/>
      </left>
      <right/>
      <top style="thin">
        <color auto="1"/>
      </top>
      <bottom style="slantDashDot">
        <color auto="1"/>
      </bottom>
      <diagonal/>
    </border>
    <border>
      <left style="thin">
        <color auto="1"/>
      </left>
      <right/>
      <top style="slantDashDot">
        <color auto="1"/>
      </top>
      <bottom style="thin">
        <color auto="1"/>
      </bottom>
      <diagonal/>
    </border>
    <border>
      <left/>
      <right/>
      <top style="slantDashDot">
        <color auto="1"/>
      </top>
      <bottom style="thin">
        <color auto="1"/>
      </bottom>
      <diagonal/>
    </border>
    <border>
      <left/>
      <right style="slantDashDot">
        <color auto="1"/>
      </right>
      <top style="slantDashDot">
        <color auto="1"/>
      </top>
      <bottom style="thin">
        <color auto="1"/>
      </bottom>
      <diagonal/>
    </border>
    <border>
      <left style="thin">
        <color auto="1"/>
      </left>
      <right/>
      <top style="thin">
        <color auto="1"/>
      </top>
      <bottom style="slantDashDot">
        <color auto="1"/>
      </bottom>
      <diagonal/>
    </border>
    <border>
      <left/>
      <right/>
      <top style="thin">
        <color auto="1"/>
      </top>
      <bottom style="slantDashDot">
        <color auto="1"/>
      </bottom>
      <diagonal/>
    </border>
    <border>
      <left/>
      <right style="slantDashDot">
        <color auto="1"/>
      </right>
      <top style="thin">
        <color auto="1"/>
      </top>
      <bottom style="slantDashDot">
        <color auto="1"/>
      </bottom>
      <diagonal/>
    </border>
    <border>
      <left style="medium">
        <color rgb="FFFFFF00"/>
      </left>
      <right style="medium">
        <color rgb="FFFFFF00"/>
      </right>
      <top style="medium">
        <color rgb="FFFFFF00"/>
      </top>
      <bottom style="medium">
        <color rgb="FFFFFF00"/>
      </bottom>
      <diagonal/>
    </border>
    <border>
      <left style="hair">
        <color auto="1"/>
      </left>
      <right style="hair">
        <color auto="1"/>
      </right>
      <top style="medium">
        <color auto="1"/>
      </top>
      <bottom style="hair">
        <color auto="1"/>
      </bottom>
      <diagonal/>
    </border>
    <border>
      <left style="medium">
        <color auto="1"/>
      </left>
      <right/>
      <top style="medium">
        <color auto="1"/>
      </top>
      <bottom style="thin">
        <color auto="1"/>
      </bottom>
      <diagonal/>
    </border>
    <border>
      <left style="medium">
        <color auto="1"/>
      </left>
      <right/>
      <top style="thin">
        <color auto="1"/>
      </top>
      <bottom style="medium">
        <color auto="1"/>
      </bottom>
      <diagonal/>
    </border>
    <border>
      <left style="hair">
        <color auto="1"/>
      </left>
      <right/>
      <top style="hair">
        <color auto="1"/>
      </top>
      <bottom style="double">
        <color auto="1"/>
      </bottom>
      <diagonal/>
    </border>
    <border>
      <left/>
      <right style="hair">
        <color auto="1"/>
      </right>
      <top style="hair">
        <color auto="1"/>
      </top>
      <bottom style="double">
        <color auto="1"/>
      </bottom>
      <diagonal/>
    </border>
    <border>
      <left/>
      <right style="hair">
        <color auto="1"/>
      </right>
      <top style="medium">
        <color auto="1"/>
      </top>
      <bottom style="double">
        <color auto="1"/>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bottom style="double">
        <color theme="2" tint="-0.499984740745262"/>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0" tint="-0.34998626667073579"/>
      </left>
      <right/>
      <top style="thin">
        <color indexed="64"/>
      </top>
      <bottom style="thin">
        <color indexed="64"/>
      </bottom>
      <diagonal/>
    </border>
    <border>
      <left style="thin">
        <color auto="1"/>
      </left>
      <right style="hair">
        <color auto="1"/>
      </right>
      <top/>
      <bottom/>
      <diagonal/>
    </border>
    <border>
      <left style="thin">
        <color auto="1"/>
      </left>
      <right style="hair">
        <color auto="1"/>
      </right>
      <top style="thin">
        <color auto="1"/>
      </top>
      <bottom/>
      <diagonal/>
    </border>
    <border>
      <left style="hair">
        <color auto="1"/>
      </left>
      <right/>
      <top style="hair">
        <color auto="1"/>
      </top>
      <bottom/>
      <diagonal/>
    </border>
    <border>
      <left/>
      <right style="hair">
        <color auto="1"/>
      </right>
      <top style="hair">
        <color auto="1"/>
      </top>
      <bottom/>
      <diagonal/>
    </border>
    <border>
      <left/>
      <right style="thin">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hair">
        <color auto="1"/>
      </left>
      <right style="thin">
        <color auto="1"/>
      </right>
      <top/>
      <bottom style="hair">
        <color auto="1"/>
      </bottom>
      <diagonal/>
    </border>
    <border>
      <left/>
      <right/>
      <top style="hair">
        <color auto="1"/>
      </top>
      <bottom style="thin">
        <color auto="1"/>
      </bottom>
      <diagonal/>
    </border>
    <border>
      <left style="thin">
        <color auto="1"/>
      </left>
      <right style="hair">
        <color auto="1"/>
      </right>
      <top style="thin">
        <color rgb="FF002060"/>
      </top>
      <bottom/>
      <diagonal/>
    </border>
    <border>
      <left style="thin">
        <color auto="1"/>
      </left>
      <right style="hair">
        <color auto="1"/>
      </right>
      <top/>
      <bottom style="thin">
        <color auto="1"/>
      </bottom>
      <diagonal/>
    </border>
    <border>
      <left style="medium">
        <color indexed="64"/>
      </left>
      <right/>
      <top/>
      <bottom/>
      <diagonal/>
    </border>
    <border>
      <left/>
      <right style="medium">
        <color indexed="64"/>
      </right>
      <top/>
      <bottom/>
      <diagonal/>
    </border>
  </borders>
  <cellStyleXfs count="4">
    <xf numFmtId="0" fontId="0" fillId="0" borderId="0"/>
    <xf numFmtId="165" fontId="24" fillId="0" borderId="0" applyFont="0" applyFill="0" applyBorder="0" applyAlignment="0" applyProtection="0"/>
    <xf numFmtId="0" fontId="37" fillId="0" borderId="0" applyNumberFormat="0" applyFill="0" applyBorder="0" applyAlignment="0" applyProtection="0"/>
    <xf numFmtId="164" fontId="24" fillId="0" borderId="0" applyFont="0" applyFill="0" applyBorder="0" applyAlignment="0" applyProtection="0"/>
  </cellStyleXfs>
  <cellXfs count="609">
    <xf numFmtId="0" fontId="0" fillId="0" borderId="0" xfId="0"/>
    <xf numFmtId="0" fontId="1" fillId="3" borderId="1" xfId="0" applyFont="1" applyFill="1" applyBorder="1" applyAlignment="1">
      <alignment horizontal="center" vertical="center" wrapText="1"/>
    </xf>
    <xf numFmtId="0" fontId="0" fillId="0" borderId="4" xfId="0" applyBorder="1"/>
    <xf numFmtId="0" fontId="0" fillId="0" borderId="0" xfId="0" applyProtection="1"/>
    <xf numFmtId="0" fontId="0" fillId="0" borderId="6" xfId="0" applyBorder="1" applyAlignment="1" applyProtection="1">
      <alignment horizontal="center" vertical="center"/>
    </xf>
    <xf numFmtId="0" fontId="1" fillId="0" borderId="0" xfId="0" applyFont="1" applyProtection="1"/>
    <xf numFmtId="0" fontId="0" fillId="0" borderId="0" xfId="0" applyAlignment="1" applyProtection="1">
      <alignment horizontal="left" indent="1"/>
    </xf>
    <xf numFmtId="0" fontId="5" fillId="0" borderId="0" xfId="0" applyFont="1" applyAlignment="1" applyProtection="1">
      <alignment vertical="center"/>
    </xf>
    <xf numFmtId="0" fontId="5" fillId="9" borderId="0" xfId="0" applyFont="1" applyFill="1" applyAlignment="1" applyProtection="1">
      <alignment vertical="center"/>
    </xf>
    <xf numFmtId="0" fontId="0" fillId="9" borderId="0" xfId="0" applyFill="1" applyProtection="1"/>
    <xf numFmtId="0" fontId="6" fillId="3" borderId="7" xfId="0" applyFont="1" applyFill="1" applyBorder="1" applyProtection="1">
      <protection locked="0"/>
    </xf>
    <xf numFmtId="0" fontId="5" fillId="0" borderId="0" xfId="0" applyFont="1" applyAlignment="1" applyProtection="1">
      <alignment vertical="top"/>
    </xf>
    <xf numFmtId="0" fontId="1" fillId="9" borderId="0" xfId="0" applyFont="1" applyFill="1" applyProtection="1"/>
    <xf numFmtId="0" fontId="7" fillId="0" borderId="0" xfId="0" applyFont="1" applyProtection="1"/>
    <xf numFmtId="0" fontId="0" fillId="0" borderId="11" xfId="0" applyBorder="1" applyProtection="1">
      <protection locked="0"/>
    </xf>
    <xf numFmtId="0" fontId="8" fillId="9" borderId="0" xfId="0" applyFont="1" applyFill="1" applyProtection="1"/>
    <xf numFmtId="0" fontId="7" fillId="0" borderId="17" xfId="0" applyFont="1" applyBorder="1" applyAlignment="1" applyProtection="1">
      <alignment horizontal="left" indent="1"/>
    </xf>
    <xf numFmtId="0" fontId="5" fillId="9" borderId="0" xfId="0" applyFont="1" applyFill="1" applyProtection="1"/>
    <xf numFmtId="0" fontId="10" fillId="9" borderId="0" xfId="0" applyFont="1" applyFill="1" applyAlignment="1" applyProtection="1">
      <alignment horizontal="center"/>
    </xf>
    <xf numFmtId="0" fontId="11" fillId="11" borderId="1" xfId="0" applyFont="1" applyFill="1" applyBorder="1" applyAlignment="1">
      <alignment horizontal="center" vertical="center" wrapText="1"/>
    </xf>
    <xf numFmtId="0" fontId="0" fillId="0" borderId="0" xfId="0" applyAlignment="1">
      <alignment horizontal="center"/>
    </xf>
    <xf numFmtId="0" fontId="5" fillId="0" borderId="0" xfId="0" applyFont="1" applyAlignment="1">
      <alignment vertical="center"/>
    </xf>
    <xf numFmtId="0" fontId="5" fillId="9" borderId="0" xfId="0" applyFont="1" applyFill="1" applyAlignment="1">
      <alignment vertical="center"/>
    </xf>
    <xf numFmtId="0" fontId="0" fillId="9" borderId="0" xfId="0" applyFill="1"/>
    <xf numFmtId="0" fontId="8" fillId="9" borderId="0" xfId="0" applyFont="1" applyFill="1" applyAlignment="1">
      <alignment horizontal="center"/>
    </xf>
    <xf numFmtId="0" fontId="12" fillId="9" borderId="0" xfId="0" applyFont="1" applyFill="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wrapText="1"/>
    </xf>
    <xf numFmtId="0" fontId="0" fillId="0" borderId="45" xfId="0" applyBorder="1" applyAlignment="1">
      <alignment horizontal="center" vertical="center"/>
    </xf>
    <xf numFmtId="0" fontId="0" fillId="0" borderId="2" xfId="0" applyBorder="1" applyAlignment="1">
      <alignment horizontal="center" vertical="center"/>
    </xf>
    <xf numFmtId="0" fontId="0" fillId="0" borderId="48" xfId="0" applyBorder="1" applyAlignment="1">
      <alignment horizontal="center" vertical="center"/>
    </xf>
    <xf numFmtId="0" fontId="0" fillId="0" borderId="4" xfId="0" applyBorder="1" applyAlignment="1">
      <alignment horizontal="center" vertical="center"/>
    </xf>
    <xf numFmtId="0" fontId="0" fillId="0" borderId="51" xfId="0" applyBorder="1"/>
    <xf numFmtId="0" fontId="0" fillId="0" borderId="45" xfId="0" applyBorder="1" applyAlignment="1" applyProtection="1">
      <alignment horizontal="center" vertical="center"/>
    </xf>
    <xf numFmtId="0" fontId="0" fillId="0" borderId="29" xfId="0" applyBorder="1" applyAlignment="1" applyProtection="1">
      <alignment vertical="center"/>
    </xf>
    <xf numFmtId="9" fontId="16" fillId="0" borderId="49" xfId="0" applyNumberFormat="1" applyFont="1" applyBorder="1" applyAlignment="1" applyProtection="1">
      <alignment horizontal="left" vertical="center"/>
    </xf>
    <xf numFmtId="3" fontId="6" fillId="0" borderId="63" xfId="0" applyNumberFormat="1" applyFont="1" applyBorder="1" applyProtection="1"/>
    <xf numFmtId="3" fontId="6" fillId="0" borderId="29" xfId="0" applyNumberFormat="1" applyFont="1" applyBorder="1" applyProtection="1"/>
    <xf numFmtId="3" fontId="17" fillId="0" borderId="64" xfId="0" applyNumberFormat="1" applyFont="1" applyBorder="1" applyProtection="1"/>
    <xf numFmtId="9" fontId="18" fillId="0" borderId="62" xfId="0" applyNumberFormat="1" applyFont="1" applyBorder="1" applyAlignment="1" applyProtection="1">
      <alignment horizontal="center"/>
    </xf>
    <xf numFmtId="0" fontId="0" fillId="0" borderId="48" xfId="0" applyBorder="1" applyAlignment="1" applyProtection="1">
      <alignment horizontal="center" vertical="center"/>
    </xf>
    <xf numFmtId="0" fontId="0" fillId="0" borderId="5" xfId="0" applyBorder="1" applyAlignment="1" applyProtection="1">
      <alignment vertical="center"/>
    </xf>
    <xf numFmtId="9" fontId="0" fillId="0" borderId="65" xfId="0" applyNumberFormat="1" applyBorder="1" applyAlignment="1" applyProtection="1">
      <alignment horizontal="center" vertical="center"/>
    </xf>
    <xf numFmtId="3" fontId="6" fillId="0" borderId="5" xfId="0" applyNumberFormat="1" applyFont="1" applyBorder="1" applyProtection="1"/>
    <xf numFmtId="3" fontId="17" fillId="0" borderId="66" xfId="0" applyNumberFormat="1" applyFont="1" applyBorder="1" applyProtection="1"/>
    <xf numFmtId="0" fontId="0" fillId="0" borderId="5" xfId="0" applyFill="1" applyBorder="1" applyAlignment="1" applyProtection="1">
      <alignment vertical="center"/>
    </xf>
    <xf numFmtId="0" fontId="0" fillId="0" borderId="67" xfId="0" applyBorder="1" applyAlignment="1" applyProtection="1">
      <alignment horizontal="center" vertical="center"/>
    </xf>
    <xf numFmtId="0" fontId="0" fillId="0" borderId="68" xfId="0" applyFill="1" applyBorder="1" applyAlignment="1" applyProtection="1">
      <alignment vertical="center"/>
    </xf>
    <xf numFmtId="9" fontId="0" fillId="0" borderId="69" xfId="0" applyNumberFormat="1" applyBorder="1" applyAlignment="1" applyProtection="1">
      <alignment horizontal="center" vertical="center"/>
    </xf>
    <xf numFmtId="3" fontId="17" fillId="0" borderId="70" xfId="0" applyNumberFormat="1" applyFont="1" applyBorder="1" applyProtection="1"/>
    <xf numFmtId="0" fontId="1" fillId="0" borderId="72" xfId="0" applyFont="1" applyFill="1" applyBorder="1" applyAlignment="1" applyProtection="1">
      <alignment horizontal="center" vertical="center"/>
    </xf>
    <xf numFmtId="3" fontId="17" fillId="0" borderId="74" xfId="0" applyNumberFormat="1" applyFont="1" applyBorder="1" applyAlignment="1" applyProtection="1">
      <alignment horizontal="center" vertical="center"/>
    </xf>
    <xf numFmtId="3" fontId="17" fillId="0" borderId="75" xfId="0" applyNumberFormat="1" applyFont="1" applyBorder="1" applyAlignment="1" applyProtection="1">
      <alignment horizontal="center" vertical="center"/>
    </xf>
    <xf numFmtId="0" fontId="0" fillId="0" borderId="42" xfId="0" applyBorder="1" applyAlignment="1" applyProtection="1">
      <alignment horizontal="center" vertical="center"/>
    </xf>
    <xf numFmtId="0" fontId="0" fillId="0" borderId="43" xfId="0" applyBorder="1" applyAlignment="1" applyProtection="1">
      <alignment horizontal="center" vertical="center"/>
    </xf>
    <xf numFmtId="0" fontId="0" fillId="0" borderId="44" xfId="0" applyBorder="1" applyAlignment="1" applyProtection="1">
      <alignment horizontal="center" vertical="center"/>
    </xf>
    <xf numFmtId="0" fontId="0" fillId="0" borderId="45" xfId="0" applyBorder="1" applyAlignment="1" applyProtection="1">
      <alignment horizontal="center"/>
    </xf>
    <xf numFmtId="3" fontId="6" fillId="0" borderId="5" xfId="0" applyNumberFormat="1" applyFont="1" applyBorder="1" applyAlignment="1" applyProtection="1">
      <alignment horizontal="right" vertical="center"/>
      <protection locked="0"/>
    </xf>
    <xf numFmtId="0" fontId="0" fillId="0" borderId="0" xfId="0" applyAlignment="1" applyProtection="1">
      <alignment horizontal="center"/>
    </xf>
    <xf numFmtId="4" fontId="0" fillId="0" borderId="0" xfId="0" applyNumberFormat="1" applyAlignment="1" applyProtection="1">
      <alignment horizontal="center"/>
    </xf>
    <xf numFmtId="0" fontId="0" fillId="0" borderId="76" xfId="0" applyBorder="1" applyAlignment="1" applyProtection="1">
      <alignment horizontal="center"/>
    </xf>
    <xf numFmtId="0" fontId="0" fillId="0" borderId="77" xfId="0" applyBorder="1" applyAlignment="1" applyProtection="1">
      <alignment vertical="center"/>
      <protection locked="0"/>
    </xf>
    <xf numFmtId="0" fontId="0" fillId="0" borderId="77" xfId="0" applyBorder="1" applyAlignment="1" applyProtection="1">
      <alignment horizontal="center" vertical="center"/>
      <protection locked="0"/>
    </xf>
    <xf numFmtId="3" fontId="6" fillId="0" borderId="77" xfId="0" applyNumberFormat="1" applyFont="1" applyBorder="1" applyAlignment="1" applyProtection="1">
      <alignment horizontal="right" vertical="center"/>
      <protection locked="0"/>
    </xf>
    <xf numFmtId="0" fontId="0" fillId="0" borderId="79" xfId="0" applyBorder="1" applyProtection="1"/>
    <xf numFmtId="0" fontId="0" fillId="0" borderId="80" xfId="0" applyBorder="1" applyAlignment="1" applyProtection="1">
      <alignment vertical="center"/>
    </xf>
    <xf numFmtId="0" fontId="0" fillId="0" borderId="80" xfId="0" applyBorder="1" applyAlignment="1" applyProtection="1">
      <alignment horizontal="center" vertical="center"/>
    </xf>
    <xf numFmtId="3" fontId="0" fillId="0" borderId="81" xfId="0" applyNumberFormat="1" applyBorder="1" applyAlignment="1" applyProtection="1">
      <alignment horizontal="center" vertical="center"/>
    </xf>
    <xf numFmtId="0" fontId="0" fillId="0" borderId="0" xfId="0"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0" fontId="0" fillId="13" borderId="92" xfId="0" applyFill="1" applyBorder="1" applyAlignment="1">
      <alignment horizontal="center" vertical="center"/>
    </xf>
    <xf numFmtId="0" fontId="0" fillId="0" borderId="92" xfId="0" applyBorder="1" applyAlignment="1">
      <alignment horizontal="center" vertical="center"/>
    </xf>
    <xf numFmtId="0" fontId="0" fillId="0" borderId="96" xfId="0" applyBorder="1" applyAlignment="1">
      <alignment horizontal="center" vertical="center"/>
    </xf>
    <xf numFmtId="0" fontId="21" fillId="0" borderId="0" xfId="0" applyFont="1"/>
    <xf numFmtId="0" fontId="0" fillId="0" borderId="100" xfId="0" applyBorder="1" applyAlignment="1">
      <alignment horizontal="center" vertical="center"/>
    </xf>
    <xf numFmtId="0" fontId="0" fillId="13" borderId="101" xfId="0" applyFill="1" applyBorder="1" applyAlignment="1">
      <alignment horizontal="center" vertical="center"/>
    </xf>
    <xf numFmtId="0" fontId="0" fillId="0" borderId="102" xfId="0" applyBorder="1" applyAlignment="1">
      <alignment horizontal="center" vertical="center"/>
    </xf>
    <xf numFmtId="0" fontId="9" fillId="0" borderId="5" xfId="0" applyFont="1" applyBorder="1" applyAlignment="1" applyProtection="1">
      <alignment vertical="center"/>
      <protection locked="0"/>
    </xf>
    <xf numFmtId="166" fontId="0" fillId="12" borderId="43" xfId="0" applyNumberFormat="1" applyFill="1" applyBorder="1" applyAlignment="1">
      <alignment horizontal="center" vertical="center" wrapText="1"/>
    </xf>
    <xf numFmtId="0" fontId="0" fillId="0" borderId="71" xfId="0" applyBorder="1" applyAlignment="1" applyProtection="1">
      <alignment horizontal="center"/>
    </xf>
    <xf numFmtId="0" fontId="0" fillId="0" borderId="62" xfId="0" applyBorder="1" applyAlignment="1" applyProtection="1">
      <alignment vertical="center"/>
    </xf>
    <xf numFmtId="9" fontId="0" fillId="0" borderId="62" xfId="0" applyNumberFormat="1" applyBorder="1" applyAlignment="1" applyProtection="1">
      <alignment horizontal="center" vertical="center"/>
    </xf>
    <xf numFmtId="0" fontId="1" fillId="0" borderId="62" xfId="0" applyFont="1" applyBorder="1" applyAlignment="1" applyProtection="1">
      <alignment vertical="center"/>
    </xf>
    <xf numFmtId="4" fontId="0" fillId="0" borderId="62" xfId="0" applyNumberFormat="1" applyBorder="1" applyAlignment="1" applyProtection="1">
      <alignment horizontal="right" vertical="center"/>
    </xf>
    <xf numFmtId="10" fontId="0" fillId="0" borderId="62" xfId="0" applyNumberFormat="1" applyBorder="1" applyAlignment="1" applyProtection="1">
      <alignment horizontal="center" vertical="center"/>
    </xf>
    <xf numFmtId="0" fontId="0" fillId="0" borderId="5" xfId="0" applyBorder="1" applyProtection="1"/>
    <xf numFmtId="0" fontId="0" fillId="0" borderId="22" xfId="0" applyBorder="1" applyAlignment="1" applyProtection="1">
      <alignment horizontal="center" vertical="center"/>
    </xf>
    <xf numFmtId="0" fontId="0" fillId="0" borderId="0" xfId="0" applyProtection="1">
      <protection locked="0"/>
    </xf>
    <xf numFmtId="0" fontId="5" fillId="9" borderId="0" xfId="0" applyFont="1" applyFill="1" applyAlignment="1" applyProtection="1">
      <alignment vertical="center"/>
      <protection locked="0"/>
    </xf>
    <xf numFmtId="0" fontId="0" fillId="9" borderId="0" xfId="0" applyFill="1" applyProtection="1">
      <protection locked="0"/>
    </xf>
    <xf numFmtId="0" fontId="5" fillId="0" borderId="0" xfId="0" applyFont="1" applyAlignment="1" applyProtection="1">
      <alignment vertical="center"/>
      <protection locked="0"/>
    </xf>
    <xf numFmtId="0" fontId="21" fillId="0" borderId="0" xfId="0" applyFont="1" applyProtection="1">
      <protection locked="0"/>
    </xf>
    <xf numFmtId="0" fontId="25" fillId="13" borderId="7" xfId="0" applyFont="1" applyFill="1" applyBorder="1" applyAlignment="1" applyProtection="1">
      <alignment horizontal="center" vertical="center"/>
      <protection locked="0"/>
    </xf>
    <xf numFmtId="0" fontId="25" fillId="0" borderId="7" xfId="0" applyFont="1" applyBorder="1" applyAlignment="1" applyProtection="1">
      <alignment horizontal="center" vertical="center"/>
      <protection locked="0"/>
    </xf>
    <xf numFmtId="0" fontId="0" fillId="0" borderId="0" xfId="0" applyAlignment="1" applyProtection="1">
      <alignment horizontal="center" vertical="center"/>
      <protection locked="0"/>
    </xf>
    <xf numFmtId="0" fontId="21" fillId="0" borderId="0" xfId="0" applyFont="1" applyProtection="1"/>
    <xf numFmtId="0" fontId="26" fillId="4" borderId="0" xfId="0" applyFont="1" applyFill="1" applyAlignment="1" applyProtection="1">
      <alignment wrapText="1"/>
    </xf>
    <xf numFmtId="0" fontId="26" fillId="0" borderId="0" xfId="0" applyFont="1" applyAlignment="1" applyProtection="1">
      <alignment wrapText="1"/>
    </xf>
    <xf numFmtId="0" fontId="0" fillId="0" borderId="0" xfId="0" applyAlignment="1" applyProtection="1">
      <alignment horizontal="center" vertical="center"/>
    </xf>
    <xf numFmtId="0" fontId="1" fillId="0" borderId="109" xfId="0" applyFont="1" applyBorder="1" applyAlignment="1" applyProtection="1">
      <alignment horizontal="center" vertical="center"/>
    </xf>
    <xf numFmtId="0" fontId="1" fillId="0" borderId="113" xfId="0" applyFont="1" applyBorder="1" applyAlignment="1" applyProtection="1">
      <alignment horizontal="center" vertical="center" wrapText="1"/>
    </xf>
    <xf numFmtId="0" fontId="1" fillId="0" borderId="114" xfId="0" applyFont="1" applyBorder="1" applyAlignment="1" applyProtection="1">
      <alignment horizontal="center" vertical="center"/>
    </xf>
    <xf numFmtId="0" fontId="0" fillId="13" borderId="115" xfId="0" applyFill="1" applyBorder="1" applyAlignment="1" applyProtection="1">
      <alignment horizontal="center" vertical="center"/>
    </xf>
    <xf numFmtId="0" fontId="25" fillId="13" borderId="116" xfId="0" applyFont="1" applyFill="1" applyBorder="1" applyAlignment="1" applyProtection="1">
      <alignment horizontal="center" vertical="center"/>
      <protection locked="0"/>
    </xf>
    <xf numFmtId="0" fontId="0" fillId="0" borderId="115" xfId="0" applyBorder="1" applyAlignment="1" applyProtection="1">
      <alignment horizontal="center" vertical="center"/>
    </xf>
    <xf numFmtId="0" fontId="25" fillId="0" borderId="116" xfId="0" applyFont="1" applyBorder="1" applyAlignment="1" applyProtection="1">
      <alignment horizontal="center" vertical="center"/>
      <protection locked="0"/>
    </xf>
    <xf numFmtId="0" fontId="0" fillId="0" borderId="117" xfId="0" applyBorder="1" applyAlignment="1" applyProtection="1">
      <alignment horizontal="center" vertical="center"/>
    </xf>
    <xf numFmtId="0" fontId="1" fillId="0" borderId="0" xfId="0" applyFont="1" applyBorder="1" applyAlignment="1" applyProtection="1">
      <alignment horizontal="center"/>
    </xf>
    <xf numFmtId="0" fontId="1" fillId="0" borderId="1" xfId="0" applyFont="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1" fillId="3" borderId="1" xfId="0" applyFont="1" applyFill="1" applyBorder="1" applyAlignment="1" applyProtection="1">
      <alignment horizontal="center" vertical="center" wrapText="1"/>
    </xf>
    <xf numFmtId="0" fontId="0" fillId="0" borderId="0" xfId="0" applyBorder="1" applyAlignment="1" applyProtection="1"/>
    <xf numFmtId="0" fontId="0" fillId="0" borderId="2" xfId="0" applyBorder="1" applyAlignment="1" applyProtection="1"/>
    <xf numFmtId="0" fontId="0" fillId="0" borderId="3" xfId="0" applyBorder="1" applyAlignment="1" applyProtection="1"/>
    <xf numFmtId="0" fontId="0" fillId="4" borderId="3" xfId="0" applyFill="1" applyBorder="1" applyAlignment="1" applyProtection="1"/>
    <xf numFmtId="0" fontId="0" fillId="0" borderId="4" xfId="0" applyBorder="1" applyAlignment="1" applyProtection="1"/>
    <xf numFmtId="0" fontId="0" fillId="0" borderId="5" xfId="0" applyBorder="1" applyAlignment="1" applyProtection="1"/>
    <xf numFmtId="0" fontId="0" fillId="4" borderId="5" xfId="0" applyFill="1" applyBorder="1" applyAlignment="1" applyProtection="1"/>
    <xf numFmtId="0" fontId="0" fillId="0" borderId="0" xfId="0" applyBorder="1" applyProtection="1"/>
    <xf numFmtId="0" fontId="0" fillId="0" borderId="4" xfId="0" applyBorder="1" applyProtection="1"/>
    <xf numFmtId="0" fontId="0" fillId="5" borderId="3" xfId="0" applyFill="1" applyBorder="1" applyAlignment="1" applyProtection="1"/>
    <xf numFmtId="0" fontId="0" fillId="5" borderId="5" xfId="0" applyFill="1" applyBorder="1" applyAlignment="1" applyProtection="1"/>
    <xf numFmtId="0" fontId="0" fillId="6" borderId="5" xfId="0" applyFill="1" applyBorder="1" applyAlignment="1" applyProtection="1"/>
    <xf numFmtId="0" fontId="0" fillId="7" borderId="5" xfId="0" applyFill="1" applyBorder="1" applyAlignment="1" applyProtection="1"/>
    <xf numFmtId="0" fontId="0" fillId="8" borderId="5" xfId="0" applyFill="1" applyBorder="1" applyAlignment="1" applyProtection="1"/>
    <xf numFmtId="0" fontId="0" fillId="0" borderId="0" xfId="0" applyAlignment="1" applyProtection="1"/>
    <xf numFmtId="0" fontId="11" fillId="11" borderId="0" xfId="0" applyFont="1" applyFill="1" applyBorder="1" applyAlignment="1">
      <alignment horizontal="center" vertical="center" wrapText="1"/>
    </xf>
    <xf numFmtId="0" fontId="0" fillId="14" borderId="79" xfId="0" applyFill="1" applyBorder="1" applyAlignment="1" applyProtection="1">
      <alignment horizontal="center"/>
    </xf>
    <xf numFmtId="0" fontId="0" fillId="14" borderId="80" xfId="0" applyFill="1" applyBorder="1" applyProtection="1"/>
    <xf numFmtId="0" fontId="0" fillId="14" borderId="80" xfId="0" applyFill="1" applyBorder="1" applyAlignment="1" applyProtection="1">
      <alignment horizontal="center"/>
    </xf>
    <xf numFmtId="0" fontId="1" fillId="14" borderId="80" xfId="0" applyFont="1" applyFill="1" applyBorder="1" applyAlignment="1" applyProtection="1">
      <alignment horizontal="center"/>
    </xf>
    <xf numFmtId="167" fontId="1" fillId="14" borderId="122" xfId="0" applyNumberFormat="1" applyFont="1" applyFill="1" applyBorder="1" applyProtection="1"/>
    <xf numFmtId="165" fontId="0" fillId="12" borderId="29" xfId="1" applyNumberFormat="1" applyFont="1" applyFill="1" applyBorder="1" applyProtection="1"/>
    <xf numFmtId="0" fontId="1" fillId="0" borderId="123" xfId="0" applyFont="1" applyBorder="1" applyAlignment="1" applyProtection="1">
      <alignment horizontal="center" vertical="center" wrapText="1"/>
    </xf>
    <xf numFmtId="0" fontId="1" fillId="0" borderId="43" xfId="0" applyFont="1" applyBorder="1" applyAlignment="1" applyProtection="1">
      <alignment horizontal="center" vertical="center" wrapText="1"/>
    </xf>
    <xf numFmtId="0" fontId="1" fillId="0" borderId="42" xfId="0" applyFont="1" applyBorder="1" applyAlignment="1" applyProtection="1">
      <alignment horizontal="center" vertical="center" wrapText="1"/>
    </xf>
    <xf numFmtId="0" fontId="1" fillId="0" borderId="56" xfId="0" applyFont="1" applyBorder="1" applyAlignment="1" applyProtection="1">
      <alignment horizontal="center" vertical="center" wrapText="1"/>
    </xf>
    <xf numFmtId="0" fontId="1" fillId="0" borderId="125" xfId="0" applyFont="1" applyBorder="1" applyAlignment="1" applyProtection="1">
      <alignment horizontal="center" vertical="center" wrapText="1"/>
    </xf>
    <xf numFmtId="0" fontId="0" fillId="0" borderId="43" xfId="0" applyBorder="1" applyAlignment="1">
      <alignment horizontal="center" vertical="center" wrapText="1"/>
    </xf>
    <xf numFmtId="0" fontId="7" fillId="0" borderId="0" xfId="0" applyFont="1" applyAlignment="1" applyProtection="1">
      <alignment horizontal="left" vertical="center"/>
    </xf>
    <xf numFmtId="0" fontId="0" fillId="0" borderId="0" xfId="0" quotePrefix="1"/>
    <xf numFmtId="0" fontId="0" fillId="0" borderId="136" xfId="0" applyBorder="1" applyAlignment="1">
      <alignment horizontal="center" vertical="center"/>
    </xf>
    <xf numFmtId="0" fontId="0" fillId="13" borderId="137" xfId="0" applyFill="1" applyBorder="1" applyAlignment="1">
      <alignment horizontal="center" vertical="center"/>
    </xf>
    <xf numFmtId="0" fontId="0" fillId="10" borderId="137" xfId="0" applyFill="1" applyBorder="1" applyAlignment="1">
      <alignment horizontal="center" vertical="center"/>
    </xf>
    <xf numFmtId="0" fontId="1" fillId="0" borderId="144" xfId="0" applyFont="1" applyBorder="1" applyAlignment="1">
      <alignment horizontal="center" vertical="center"/>
    </xf>
    <xf numFmtId="0" fontId="1" fillId="0" borderId="145" xfId="0" applyFont="1" applyBorder="1" applyAlignment="1">
      <alignment horizontal="center" vertical="center"/>
    </xf>
    <xf numFmtId="0" fontId="33" fillId="0" borderId="12" xfId="0" applyFont="1" applyBorder="1" applyAlignment="1" applyProtection="1">
      <alignment horizontal="center" vertical="center" wrapText="1"/>
      <protection locked="0"/>
    </xf>
    <xf numFmtId="0" fontId="33" fillId="13" borderId="133" xfId="0" applyFont="1" applyFill="1" applyBorder="1" applyAlignment="1" applyProtection="1">
      <alignment horizontal="center" vertical="center"/>
      <protection locked="0"/>
    </xf>
    <xf numFmtId="0" fontId="0" fillId="0" borderId="3"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5" xfId="0" applyBorder="1" applyAlignment="1" applyProtection="1">
      <alignment horizontal="center" vertical="center" wrapText="1"/>
      <protection locked="0"/>
    </xf>
    <xf numFmtId="0" fontId="0" fillId="0" borderId="54" xfId="0" applyBorder="1" applyAlignment="1" applyProtection="1">
      <alignment horizontal="center" vertical="center"/>
      <protection locked="0"/>
    </xf>
    <xf numFmtId="0" fontId="0" fillId="12" borderId="3" xfId="0" applyFill="1" applyBorder="1" applyAlignment="1" applyProtection="1">
      <alignment horizontal="center" vertical="center" wrapText="1"/>
    </xf>
    <xf numFmtId="0" fontId="0" fillId="12" borderId="5" xfId="0" applyFill="1" applyBorder="1" applyAlignment="1" applyProtection="1">
      <alignment horizontal="center" vertical="center" wrapText="1"/>
    </xf>
    <xf numFmtId="3" fontId="0" fillId="0" borderId="0" xfId="0" applyNumberFormat="1" applyProtection="1"/>
    <xf numFmtId="0" fontId="1" fillId="0" borderId="42" xfId="0" applyFont="1" applyBorder="1" applyAlignment="1" applyProtection="1">
      <alignment horizontal="center" vertical="center"/>
    </xf>
    <xf numFmtId="0" fontId="1" fillId="0" borderId="44" xfId="0" applyFont="1" applyFill="1" applyBorder="1" applyAlignment="1" applyProtection="1">
      <alignment horizontal="center" vertical="center"/>
    </xf>
    <xf numFmtId="0" fontId="1" fillId="0" borderId="61" xfId="0" applyFont="1" applyBorder="1" applyAlignment="1" applyProtection="1">
      <alignment horizontal="center" vertical="center" wrapText="1"/>
    </xf>
    <xf numFmtId="0" fontId="0" fillId="0" borderId="0" xfId="0" applyAlignment="1">
      <alignment vertical="center"/>
    </xf>
    <xf numFmtId="0" fontId="0" fillId="0" borderId="0" xfId="0" quotePrefix="1" applyAlignment="1">
      <alignment vertical="center"/>
    </xf>
    <xf numFmtId="0" fontId="0" fillId="3" borderId="21" xfId="0" applyFill="1" applyBorder="1"/>
    <xf numFmtId="0" fontId="0" fillId="3" borderId="104" xfId="0" applyFill="1" applyBorder="1"/>
    <xf numFmtId="0" fontId="0" fillId="3" borderId="105" xfId="0" applyFill="1" applyBorder="1" applyAlignment="1" applyProtection="1">
      <alignment horizontal="center" wrapText="1"/>
    </xf>
    <xf numFmtId="0" fontId="0" fillId="0" borderId="59" xfId="0" applyBorder="1"/>
    <xf numFmtId="0" fontId="0" fillId="0" borderId="60" xfId="0" applyBorder="1"/>
    <xf numFmtId="0" fontId="0" fillId="0" borderId="149" xfId="0" applyBorder="1"/>
    <xf numFmtId="0" fontId="0" fillId="0" borderId="57" xfId="0" applyBorder="1"/>
    <xf numFmtId="0" fontId="0" fillId="0" borderId="44" xfId="0" applyBorder="1" applyAlignment="1">
      <alignment horizontal="center"/>
    </xf>
    <xf numFmtId="0" fontId="0" fillId="0" borderId="64" xfId="0" applyBorder="1" applyAlignment="1">
      <alignment horizontal="center"/>
    </xf>
    <xf numFmtId="0" fontId="1" fillId="0" borderId="150" xfId="0" applyFont="1" applyBorder="1" applyAlignment="1">
      <alignment horizontal="center"/>
    </xf>
    <xf numFmtId="0" fontId="0" fillId="0" borderId="151" xfId="0" applyBorder="1" applyAlignment="1">
      <alignment horizontal="center"/>
    </xf>
    <xf numFmtId="0" fontId="0" fillId="0" borderId="128" xfId="0" applyBorder="1" applyAlignment="1">
      <alignment horizontal="center"/>
    </xf>
    <xf numFmtId="0" fontId="0" fillId="0" borderId="115" xfId="0" applyBorder="1" applyAlignment="1">
      <alignment horizontal="center"/>
    </xf>
    <xf numFmtId="0" fontId="0" fillId="0" borderId="117" xfId="0" applyBorder="1" applyAlignment="1">
      <alignment horizontal="center"/>
    </xf>
    <xf numFmtId="0" fontId="0" fillId="0" borderId="6" xfId="0" applyBorder="1" applyProtection="1">
      <protection locked="0"/>
    </xf>
    <xf numFmtId="0" fontId="35" fillId="0" borderId="0" xfId="0" applyFont="1" applyBorder="1" applyProtection="1"/>
    <xf numFmtId="0" fontId="35" fillId="0" borderId="0" xfId="0" applyFont="1" applyBorder="1" applyAlignment="1" applyProtection="1">
      <alignment horizontal="center" vertical="center"/>
    </xf>
    <xf numFmtId="0" fontId="0" fillId="0" borderId="109" xfId="0" applyBorder="1" applyAlignment="1">
      <alignment horizontal="center" vertical="center"/>
    </xf>
    <xf numFmtId="0" fontId="0" fillId="13" borderId="115" xfId="0" applyFill="1" applyBorder="1" applyAlignment="1">
      <alignment horizontal="center" vertical="center"/>
    </xf>
    <xf numFmtId="0" fontId="0" fillId="10" borderId="131" xfId="0" applyFill="1" applyBorder="1" applyAlignment="1">
      <alignment horizontal="center" vertical="center"/>
    </xf>
    <xf numFmtId="0" fontId="0" fillId="13" borderId="131" xfId="0" applyFill="1" applyBorder="1" applyAlignment="1">
      <alignment horizontal="center" vertical="center"/>
    </xf>
    <xf numFmtId="0" fontId="1" fillId="0" borderId="42" xfId="0" applyFont="1" applyBorder="1" applyAlignment="1" applyProtection="1">
      <alignment horizontal="center"/>
    </xf>
    <xf numFmtId="0" fontId="1" fillId="0" borderId="43" xfId="0" applyFont="1" applyBorder="1" applyAlignment="1" applyProtection="1">
      <alignment horizontal="center"/>
    </xf>
    <xf numFmtId="0" fontId="0" fillId="0" borderId="128" xfId="0" applyBorder="1" applyAlignment="1" applyProtection="1">
      <alignment horizontal="center" vertical="center"/>
    </xf>
    <xf numFmtId="0" fontId="0" fillId="0" borderId="129" xfId="0" applyBorder="1" applyAlignment="1" applyProtection="1">
      <alignment horizontal="center" vertical="center" wrapText="1"/>
    </xf>
    <xf numFmtId="0" fontId="0" fillId="13" borderId="131" xfId="0" applyFill="1" applyBorder="1" applyAlignment="1" applyProtection="1">
      <alignment horizontal="center" vertical="center"/>
    </xf>
    <xf numFmtId="0" fontId="0" fillId="13" borderId="20" xfId="0" applyFill="1" applyBorder="1" applyAlignment="1" applyProtection="1">
      <alignment horizontal="center" vertical="center" wrapText="1"/>
    </xf>
    <xf numFmtId="0" fontId="0" fillId="0" borderId="120" xfId="0" applyBorder="1" applyAlignment="1" applyProtection="1">
      <alignment horizontal="center" vertical="top"/>
    </xf>
    <xf numFmtId="0" fontId="34" fillId="0" borderId="0" xfId="0" applyFont="1" applyProtection="1"/>
    <xf numFmtId="4" fontId="34" fillId="0" borderId="0" xfId="0" applyNumberFormat="1" applyFont="1" applyProtection="1"/>
    <xf numFmtId="0" fontId="0" fillId="0" borderId="54" xfId="0" applyBorder="1" applyAlignment="1" applyProtection="1">
      <alignment horizontal="left" vertical="center"/>
      <protection locked="0"/>
    </xf>
    <xf numFmtId="0" fontId="38" fillId="0" borderId="0" xfId="0" applyFont="1" applyProtection="1"/>
    <xf numFmtId="0" fontId="1" fillId="0" borderId="24" xfId="0" applyFont="1" applyBorder="1" applyAlignment="1" applyProtection="1">
      <alignment horizontal="center" vertical="center"/>
    </xf>
    <xf numFmtId="0" fontId="1" fillId="0" borderId="25" xfId="0" applyFont="1" applyBorder="1" applyAlignment="1" applyProtection="1">
      <alignment horizontal="center" vertical="center"/>
    </xf>
    <xf numFmtId="0" fontId="1" fillId="0" borderId="28" xfId="0" applyFont="1" applyBorder="1" applyAlignment="1" applyProtection="1">
      <alignment horizontal="center" vertical="center"/>
    </xf>
    <xf numFmtId="3" fontId="17" fillId="0" borderId="154" xfId="0" applyNumberFormat="1" applyFont="1" applyBorder="1" applyAlignment="1" applyProtection="1">
      <alignment horizontal="center" vertical="center"/>
    </xf>
    <xf numFmtId="0" fontId="0" fillId="0" borderId="2" xfId="0" applyBorder="1" applyAlignment="1">
      <alignment vertical="center"/>
    </xf>
    <xf numFmtId="0" fontId="0" fillId="0" borderId="4" xfId="0" applyBorder="1" applyAlignment="1">
      <alignment vertical="center"/>
    </xf>
    <xf numFmtId="0" fontId="26" fillId="4" borderId="0" xfId="0" applyFont="1" applyFill="1" applyAlignment="1" applyProtection="1"/>
    <xf numFmtId="0" fontId="0" fillId="0" borderId="49" xfId="0" applyBorder="1" applyProtection="1"/>
    <xf numFmtId="0" fontId="0" fillId="0" borderId="155" xfId="0" applyBorder="1" applyProtection="1"/>
    <xf numFmtId="0" fontId="0" fillId="0" borderId="29" xfId="0" applyBorder="1" applyProtection="1"/>
    <xf numFmtId="0" fontId="1" fillId="0" borderId="156" xfId="0" applyFont="1" applyBorder="1" applyAlignment="1" applyProtection="1">
      <alignment horizontal="center" vertical="center"/>
    </xf>
    <xf numFmtId="0" fontId="1" fillId="0" borderId="157" xfId="0" applyFont="1" applyBorder="1" applyAlignment="1" applyProtection="1">
      <alignment horizontal="center" vertical="center"/>
    </xf>
    <xf numFmtId="0" fontId="9" fillId="0" borderId="0" xfId="0" applyFont="1" applyAlignment="1">
      <alignment horizontal="center" vertical="center"/>
    </xf>
    <xf numFmtId="0" fontId="33" fillId="0" borderId="0" xfId="0" applyFont="1" applyAlignment="1">
      <alignment horizontal="center" vertical="center"/>
    </xf>
    <xf numFmtId="168" fontId="1" fillId="9" borderId="0" xfId="0" applyNumberFormat="1" applyFont="1" applyFill="1" applyAlignment="1" applyProtection="1">
      <alignment horizontal="center" vertical="center"/>
    </xf>
    <xf numFmtId="0" fontId="0" fillId="0" borderId="158" xfId="0" applyBorder="1" applyAlignment="1" applyProtection="1">
      <alignment horizontal="center" vertical="center"/>
      <protection locked="0"/>
    </xf>
    <xf numFmtId="9" fontId="40" fillId="0" borderId="62" xfId="0" applyNumberFormat="1" applyFont="1" applyBorder="1" applyAlignment="1" applyProtection="1">
      <alignment horizontal="center" vertical="center"/>
    </xf>
    <xf numFmtId="4" fontId="40" fillId="0" borderId="62" xfId="0" applyNumberFormat="1" applyFont="1" applyBorder="1" applyAlignment="1" applyProtection="1">
      <alignment horizontal="center" vertical="center"/>
    </xf>
    <xf numFmtId="0" fontId="40" fillId="0" borderId="62" xfId="0" applyFont="1" applyBorder="1" applyAlignment="1" applyProtection="1">
      <alignment horizontal="center" vertical="center"/>
    </xf>
    <xf numFmtId="9" fontId="42" fillId="0" borderId="62" xfId="0" applyNumberFormat="1" applyFont="1" applyBorder="1" applyAlignment="1" applyProtection="1">
      <alignment horizontal="center" vertical="center" wrapText="1"/>
    </xf>
    <xf numFmtId="0" fontId="42" fillId="0" borderId="0" xfId="0" applyFont="1" applyAlignment="1" applyProtection="1">
      <alignment horizontal="center" vertical="center"/>
    </xf>
    <xf numFmtId="0" fontId="7" fillId="9" borderId="0" xfId="0" applyFont="1" applyFill="1" applyAlignment="1" applyProtection="1">
      <alignment vertical="center"/>
      <protection locked="0"/>
    </xf>
    <xf numFmtId="0" fontId="0" fillId="10" borderId="117" xfId="0" applyFill="1" applyBorder="1" applyAlignment="1">
      <alignment horizontal="center" vertical="center"/>
    </xf>
    <xf numFmtId="0" fontId="36" fillId="0" borderId="0" xfId="0" applyFont="1" applyAlignment="1" applyProtection="1">
      <alignment horizontal="center"/>
    </xf>
    <xf numFmtId="0" fontId="0" fillId="0" borderId="160" xfId="0" applyBorder="1" applyAlignment="1" applyProtection="1">
      <alignment horizontal="center" vertical="center"/>
      <protection locked="0"/>
    </xf>
    <xf numFmtId="0" fontId="0" fillId="13" borderId="161" xfId="0" applyFill="1" applyBorder="1" applyAlignment="1" applyProtection="1">
      <alignment horizontal="center" vertical="center"/>
      <protection locked="0"/>
    </xf>
    <xf numFmtId="0" fontId="0" fillId="0" borderId="161" xfId="0" applyBorder="1" applyAlignment="1" applyProtection="1">
      <alignment horizontal="center" vertical="center"/>
      <protection locked="0"/>
    </xf>
    <xf numFmtId="0" fontId="0" fillId="0" borderId="162" xfId="0" applyBorder="1" applyAlignment="1" applyProtection="1">
      <alignment horizontal="center" vertical="center"/>
      <protection locked="0"/>
    </xf>
    <xf numFmtId="0" fontId="17" fillId="0" borderId="6" xfId="0" applyFont="1" applyBorder="1" applyAlignment="1" applyProtection="1">
      <alignment horizontal="center" vertical="center" wrapText="1"/>
    </xf>
    <xf numFmtId="0" fontId="17" fillId="0" borderId="6" xfId="0" applyFont="1" applyBorder="1" applyAlignment="1" applyProtection="1">
      <alignment horizontal="center" vertical="center"/>
    </xf>
    <xf numFmtId="0" fontId="0" fillId="0" borderId="6" xfId="0" applyBorder="1" applyAlignment="1" applyProtection="1">
      <alignment horizontal="center" vertical="center" wrapText="1"/>
    </xf>
    <xf numFmtId="0" fontId="0" fillId="0" borderId="132" xfId="0" applyBorder="1" applyAlignment="1" applyProtection="1">
      <alignment horizontal="center" vertical="center"/>
    </xf>
    <xf numFmtId="0" fontId="35" fillId="0" borderId="0" xfId="0" applyFont="1" applyProtection="1"/>
    <xf numFmtId="0" fontId="0" fillId="9" borderId="0" xfId="0" applyFill="1" applyAlignment="1" applyProtection="1">
      <alignment horizontal="left" indent="1"/>
    </xf>
    <xf numFmtId="0" fontId="0" fillId="13" borderId="132" xfId="0" applyFill="1" applyBorder="1" applyAlignment="1" applyProtection="1">
      <alignment horizontal="center" vertical="center" wrapText="1"/>
    </xf>
    <xf numFmtId="0" fontId="0" fillId="13" borderId="132" xfId="0" applyFill="1" applyBorder="1" applyAlignment="1" applyProtection="1">
      <alignment horizontal="center" vertical="center"/>
    </xf>
    <xf numFmtId="0" fontId="0" fillId="0" borderId="132" xfId="0" applyBorder="1" applyAlignment="1" applyProtection="1">
      <alignment horizontal="center" vertical="center" wrapText="1"/>
    </xf>
    <xf numFmtId="0" fontId="46" fillId="0" borderId="73" xfId="0" applyFont="1" applyBorder="1" applyAlignment="1" applyProtection="1">
      <alignment horizontal="center" vertical="center"/>
    </xf>
    <xf numFmtId="0" fontId="12" fillId="9" borderId="0" xfId="0" applyFont="1" applyFill="1" applyAlignment="1" applyProtection="1">
      <alignment horizontal="center"/>
    </xf>
    <xf numFmtId="0" fontId="12" fillId="9" borderId="0" xfId="0" applyFont="1" applyFill="1" applyAlignment="1">
      <alignment horizontal="center"/>
    </xf>
    <xf numFmtId="0" fontId="0" fillId="9" borderId="134" xfId="0" applyFill="1" applyBorder="1" applyProtection="1">
      <protection locked="0"/>
    </xf>
    <xf numFmtId="0" fontId="0" fillId="0" borderId="0" xfId="0" applyBorder="1" applyAlignment="1">
      <alignment horizontal="center"/>
    </xf>
    <xf numFmtId="0" fontId="28" fillId="0" borderId="0" xfId="0" applyFont="1"/>
    <xf numFmtId="0" fontId="0" fillId="0" borderId="0" xfId="0" applyBorder="1" applyAlignment="1" applyProtection="1">
      <alignment horizontal="center" vertical="center" wrapText="1"/>
    </xf>
    <xf numFmtId="0" fontId="41" fillId="0" borderId="0" xfId="0" applyFont="1" applyBorder="1" applyAlignment="1" applyProtection="1">
      <alignment horizontal="center"/>
    </xf>
    <xf numFmtId="0" fontId="6" fillId="0" borderId="0" xfId="0" applyFont="1" applyBorder="1" applyAlignment="1" applyProtection="1">
      <alignment horizontal="center"/>
    </xf>
    <xf numFmtId="4" fontId="0" fillId="3" borderId="105" xfId="0" applyNumberFormat="1" applyFill="1" applyBorder="1" applyAlignment="1" applyProtection="1">
      <alignment horizontal="center" wrapText="1"/>
    </xf>
    <xf numFmtId="4" fontId="47" fillId="0" borderId="0" xfId="0" applyNumberFormat="1" applyFont="1" applyAlignment="1">
      <alignment horizontal="center"/>
    </xf>
    <xf numFmtId="165" fontId="0" fillId="0" borderId="0" xfId="0" applyNumberFormat="1" applyProtection="1"/>
    <xf numFmtId="0" fontId="0" fillId="9" borderId="0" xfId="0" applyFill="1" applyAlignment="1" applyProtection="1">
      <alignment horizontal="center"/>
    </xf>
    <xf numFmtId="170" fontId="0" fillId="9" borderId="0" xfId="0" applyNumberFormat="1" applyFill="1" applyAlignment="1" applyProtection="1">
      <alignment horizontal="center"/>
    </xf>
    <xf numFmtId="0" fontId="1" fillId="5" borderId="5" xfId="0" applyFont="1" applyFill="1" applyBorder="1" applyAlignment="1" applyProtection="1"/>
    <xf numFmtId="0" fontId="28" fillId="0" borderId="0" xfId="0" applyFont="1" applyAlignment="1" applyProtection="1">
      <alignment horizontal="center" vertical="center" wrapText="1"/>
    </xf>
    <xf numFmtId="0" fontId="25" fillId="0" borderId="119" xfId="0" applyFont="1" applyBorder="1" applyAlignment="1" applyProtection="1">
      <alignment horizontal="center" vertical="center"/>
    </xf>
    <xf numFmtId="0" fontId="25" fillId="0" borderId="153" xfId="0" applyFont="1" applyBorder="1" applyAlignment="1" applyProtection="1">
      <alignment horizontal="center" vertical="center"/>
    </xf>
    <xf numFmtId="0" fontId="33" fillId="0" borderId="0" xfId="0" quotePrefix="1" applyFont="1" applyAlignment="1">
      <alignment vertical="center"/>
    </xf>
    <xf numFmtId="0" fontId="48" fillId="0" borderId="0" xfId="0" applyFont="1" applyAlignment="1">
      <alignment horizontal="center"/>
    </xf>
    <xf numFmtId="0" fontId="35" fillId="0" borderId="0" xfId="0" applyFont="1" applyAlignment="1">
      <alignment horizontal="center"/>
    </xf>
    <xf numFmtId="0" fontId="49" fillId="0" borderId="0" xfId="0" applyFont="1" applyAlignment="1">
      <alignment horizontal="center" vertical="center"/>
    </xf>
    <xf numFmtId="0" fontId="0" fillId="0" borderId="169" xfId="0" applyBorder="1" applyAlignment="1">
      <alignment horizontal="center" vertical="center"/>
    </xf>
    <xf numFmtId="0" fontId="35" fillId="0" borderId="5" xfId="0" applyFont="1" applyBorder="1" applyProtection="1"/>
    <xf numFmtId="14" fontId="0" fillId="0" borderId="0" xfId="0" applyNumberFormat="1" applyAlignment="1" applyProtection="1">
      <alignment horizontal="center"/>
      <protection locked="0"/>
    </xf>
    <xf numFmtId="0" fontId="8" fillId="0" borderId="0" xfId="0" applyFont="1" applyAlignment="1" applyProtection="1">
      <alignment horizontal="center" vertical="center"/>
    </xf>
    <xf numFmtId="0" fontId="8" fillId="0" borderId="0" xfId="0" applyFont="1" applyProtection="1"/>
    <xf numFmtId="0" fontId="35" fillId="0" borderId="0" xfId="0" applyFont="1" applyAlignment="1" applyProtection="1">
      <alignment horizontal="center"/>
    </xf>
    <xf numFmtId="0" fontId="47" fillId="0" borderId="0" xfId="0" applyFont="1" applyProtection="1"/>
    <xf numFmtId="0" fontId="0" fillId="0" borderId="172" xfId="0" applyBorder="1" applyAlignment="1" applyProtection="1">
      <alignment wrapText="1"/>
    </xf>
    <xf numFmtId="167" fontId="0" fillId="0" borderId="126" xfId="1" applyNumberFormat="1" applyFont="1" applyBorder="1" applyProtection="1"/>
    <xf numFmtId="167" fontId="0" fillId="0" borderId="124" xfId="1" applyNumberFormat="1" applyFont="1" applyBorder="1" applyAlignment="1" applyProtection="1">
      <alignment horizontal="right" indent="1"/>
    </xf>
    <xf numFmtId="167" fontId="0" fillId="0" borderId="148" xfId="1" applyNumberFormat="1" applyFont="1" applyBorder="1" applyAlignment="1" applyProtection="1">
      <alignment horizontal="right" indent="1"/>
    </xf>
    <xf numFmtId="171" fontId="7" fillId="9" borderId="133" xfId="0" applyNumberFormat="1" applyFont="1" applyFill="1" applyBorder="1" applyAlignment="1" applyProtection="1">
      <alignment horizontal="center"/>
    </xf>
    <xf numFmtId="3" fontId="7" fillId="9" borderId="135" xfId="0" applyNumberFormat="1" applyFont="1" applyFill="1" applyBorder="1" applyAlignment="1" applyProtection="1">
      <alignment horizontal="center"/>
    </xf>
    <xf numFmtId="167" fontId="0" fillId="0" borderId="0" xfId="0" applyNumberFormat="1" applyAlignment="1" applyProtection="1">
      <alignment horizontal="center" vertical="center"/>
    </xf>
    <xf numFmtId="165" fontId="47" fillId="0" borderId="29" xfId="1" applyNumberFormat="1" applyFont="1" applyBorder="1" applyProtection="1">
      <protection locked="0"/>
    </xf>
    <xf numFmtId="0" fontId="0" fillId="0" borderId="1" xfId="0" applyBorder="1" applyProtection="1"/>
    <xf numFmtId="0" fontId="0" fillId="0" borderId="0" xfId="0" applyAlignment="1" applyProtection="1">
      <alignment vertical="center"/>
    </xf>
    <xf numFmtId="3" fontId="0" fillId="0" borderId="0" xfId="0" applyNumberFormat="1" applyAlignment="1" applyProtection="1">
      <alignment horizontal="center" vertical="center"/>
    </xf>
    <xf numFmtId="170" fontId="12" fillId="9" borderId="0" xfId="0" applyNumberFormat="1" applyFont="1" applyFill="1" applyAlignment="1" applyProtection="1">
      <alignment horizontal="center"/>
    </xf>
    <xf numFmtId="0" fontId="45" fillId="0" borderId="0" xfId="0" applyFont="1" applyAlignment="1" applyProtection="1">
      <alignment vertical="center"/>
    </xf>
    <xf numFmtId="0" fontId="12" fillId="9" borderId="0" xfId="0" applyFont="1" applyFill="1" applyProtection="1"/>
    <xf numFmtId="10" fontId="0" fillId="0" borderId="6" xfId="0" applyNumberFormat="1" applyBorder="1" applyAlignment="1" applyProtection="1">
      <alignment horizontal="center" vertical="center"/>
    </xf>
    <xf numFmtId="37" fontId="0" fillId="0" borderId="176" xfId="0" applyNumberFormat="1" applyBorder="1" applyAlignment="1" applyProtection="1">
      <alignment horizontal="right" vertical="center" indent="1"/>
    </xf>
    <xf numFmtId="37" fontId="0" fillId="0" borderId="170" xfId="0" applyNumberFormat="1" applyBorder="1" applyAlignment="1" applyProtection="1">
      <alignment horizontal="right" vertical="center" indent="1"/>
    </xf>
    <xf numFmtId="37" fontId="0" fillId="0" borderId="51" xfId="0" applyNumberFormat="1" applyBorder="1" applyAlignment="1" applyProtection="1">
      <alignment horizontal="right" vertical="center" indent="1"/>
    </xf>
    <xf numFmtId="37" fontId="0" fillId="0" borderId="54" xfId="0" applyNumberFormat="1" applyBorder="1" applyAlignment="1" applyProtection="1">
      <alignment horizontal="right" vertical="center" indent="1"/>
    </xf>
    <xf numFmtId="0" fontId="1" fillId="0" borderId="178" xfId="0" applyFont="1" applyBorder="1" applyProtection="1"/>
    <xf numFmtId="0" fontId="28" fillId="0" borderId="0" xfId="0" applyFont="1" applyAlignment="1" applyProtection="1">
      <alignment vertical="center"/>
    </xf>
    <xf numFmtId="0" fontId="9" fillId="15" borderId="5" xfId="0" applyFont="1" applyFill="1" applyBorder="1" applyAlignment="1" applyProtection="1">
      <alignment vertical="center"/>
    </xf>
    <xf numFmtId="0" fontId="0" fillId="0" borderId="172" xfId="0" applyBorder="1" applyAlignment="1" applyProtection="1">
      <alignment vertical="center" wrapText="1"/>
    </xf>
    <xf numFmtId="14" fontId="35" fillId="0" borderId="0" xfId="0" applyNumberFormat="1" applyFont="1" applyAlignment="1" applyProtection="1">
      <alignment horizontal="center" vertical="center"/>
    </xf>
    <xf numFmtId="172" fontId="0" fillId="0" borderId="0" xfId="0" applyNumberFormat="1" applyAlignment="1" applyProtection="1">
      <alignment horizontal="center" vertical="center"/>
    </xf>
    <xf numFmtId="0" fontId="0" fillId="0" borderId="23" xfId="0" applyBorder="1" applyAlignment="1" applyProtection="1"/>
    <xf numFmtId="0" fontId="50" fillId="0" borderId="179" xfId="0" applyFont="1" applyBorder="1" applyAlignment="1">
      <alignment horizontal="center" vertical="center"/>
    </xf>
    <xf numFmtId="0" fontId="1" fillId="0" borderId="180" xfId="0" applyFont="1" applyBorder="1" applyAlignment="1">
      <alignment horizontal="center" vertical="center"/>
    </xf>
    <xf numFmtId="0" fontId="0" fillId="0" borderId="179" xfId="0" applyBorder="1"/>
    <xf numFmtId="0" fontId="0" fillId="0" borderId="179" xfId="0" applyBorder="1" applyAlignment="1">
      <alignment horizontal="center" vertical="center"/>
    </xf>
    <xf numFmtId="0" fontId="0" fillId="0" borderId="180" xfId="0" applyBorder="1"/>
    <xf numFmtId="0" fontId="0" fillId="0" borderId="180" xfId="0" applyBorder="1" applyAlignment="1">
      <alignment horizontal="center" vertical="center"/>
    </xf>
    <xf numFmtId="0" fontId="7" fillId="0" borderId="0" xfId="0" applyFont="1" applyAlignment="1" applyProtection="1">
      <alignment vertical="center"/>
    </xf>
    <xf numFmtId="0" fontId="7" fillId="0" borderId="0" xfId="0" applyFont="1" applyBorder="1" applyAlignment="1" applyProtection="1">
      <alignment vertical="center"/>
    </xf>
    <xf numFmtId="0" fontId="0" fillId="0" borderId="129" xfId="0" applyFill="1" applyBorder="1" applyAlignment="1" applyProtection="1">
      <alignment horizontal="center"/>
    </xf>
    <xf numFmtId="0" fontId="7" fillId="0" borderId="133" xfId="0" applyFont="1" applyBorder="1" applyAlignment="1" applyProtection="1">
      <alignment horizontal="center" vertical="center" wrapText="1"/>
    </xf>
    <xf numFmtId="0" fontId="0" fillId="3" borderId="7" xfId="0" applyFill="1" applyBorder="1" applyAlignment="1" applyProtection="1">
      <alignment horizontal="center"/>
    </xf>
    <xf numFmtId="0" fontId="0" fillId="0" borderId="7" xfId="0" applyBorder="1" applyAlignment="1" applyProtection="1">
      <alignment horizontal="center"/>
    </xf>
    <xf numFmtId="3" fontId="6" fillId="17" borderId="63" xfId="0" applyNumberFormat="1" applyFont="1" applyFill="1" applyBorder="1" applyProtection="1"/>
    <xf numFmtId="3" fontId="6" fillId="17" borderId="29" xfId="0" applyNumberFormat="1" applyFont="1" applyFill="1" applyBorder="1" applyProtection="1"/>
    <xf numFmtId="3" fontId="6" fillId="17" borderId="5" xfId="0" applyNumberFormat="1" applyFont="1" applyFill="1" applyBorder="1" applyProtection="1"/>
    <xf numFmtId="3" fontId="6" fillId="17" borderId="68" xfId="0" applyNumberFormat="1" applyFont="1" applyFill="1" applyBorder="1" applyProtection="1"/>
    <xf numFmtId="3" fontId="6" fillId="17" borderId="4" xfId="0" applyNumberFormat="1" applyFont="1" applyFill="1" applyBorder="1" applyProtection="1"/>
    <xf numFmtId="3" fontId="6" fillId="17" borderId="107" xfId="0" applyNumberFormat="1" applyFont="1" applyFill="1" applyBorder="1" applyProtection="1"/>
    <xf numFmtId="3" fontId="17" fillId="17" borderId="74" xfId="0" applyNumberFormat="1" applyFont="1" applyFill="1" applyBorder="1" applyAlignment="1" applyProtection="1">
      <alignment horizontal="center" vertical="center"/>
    </xf>
    <xf numFmtId="3" fontId="6" fillId="17" borderId="64" xfId="0" applyNumberFormat="1" applyFont="1" applyFill="1" applyBorder="1" applyAlignment="1" applyProtection="1">
      <alignment horizontal="right" vertical="center"/>
    </xf>
    <xf numFmtId="3" fontId="6" fillId="17" borderId="66" xfId="0" applyNumberFormat="1" applyFont="1" applyFill="1" applyBorder="1" applyAlignment="1" applyProtection="1">
      <alignment horizontal="right" vertical="center"/>
    </xf>
    <xf numFmtId="3" fontId="0" fillId="17" borderId="82" xfId="0" applyNumberFormat="1" applyFill="1" applyBorder="1" applyAlignment="1" applyProtection="1">
      <alignment horizontal="center" vertical="center"/>
    </xf>
    <xf numFmtId="37" fontId="0" fillId="17" borderId="177" xfId="0" applyNumberFormat="1" applyFill="1" applyBorder="1" applyAlignment="1" applyProtection="1">
      <alignment horizontal="right" vertical="center" indent="1"/>
    </xf>
    <xf numFmtId="37" fontId="0" fillId="17" borderId="150" xfId="0" applyNumberFormat="1" applyFill="1" applyBorder="1" applyAlignment="1" applyProtection="1">
      <alignment horizontal="right" vertical="center" indent="1"/>
    </xf>
    <xf numFmtId="3" fontId="6" fillId="17" borderId="78" xfId="0" applyNumberFormat="1" applyFont="1" applyFill="1" applyBorder="1" applyAlignment="1" applyProtection="1">
      <alignment horizontal="right" vertical="center"/>
    </xf>
    <xf numFmtId="0" fontId="0" fillId="0" borderId="159" xfId="0" applyBorder="1" applyAlignment="1" applyProtection="1">
      <alignment horizontal="center" vertical="center"/>
    </xf>
    <xf numFmtId="0" fontId="0" fillId="0" borderId="29" xfId="0" applyBorder="1" applyAlignment="1" applyProtection="1">
      <alignment horizontal="center" vertical="center"/>
    </xf>
    <xf numFmtId="0" fontId="0" fillId="0" borderId="189" xfId="0" applyBorder="1" applyAlignment="1" applyProtection="1">
      <alignment horizontal="center" vertical="center"/>
      <protection locked="0"/>
    </xf>
    <xf numFmtId="0" fontId="0" fillId="0" borderId="32" xfId="0" applyBorder="1" applyAlignment="1" applyProtection="1">
      <alignment horizontal="center" vertical="center"/>
    </xf>
    <xf numFmtId="0" fontId="0" fillId="0" borderId="32" xfId="0" applyBorder="1" applyAlignment="1" applyProtection="1">
      <alignment horizontal="left" vertical="center"/>
    </xf>
    <xf numFmtId="172" fontId="0" fillId="0" borderId="0" xfId="0" applyNumberFormat="1" applyProtection="1"/>
    <xf numFmtId="0" fontId="0" fillId="0" borderId="29" xfId="0" applyBorder="1" applyAlignment="1" applyProtection="1">
      <alignment vertical="center"/>
      <protection locked="0"/>
    </xf>
    <xf numFmtId="0" fontId="0" fillId="0" borderId="155" xfId="0" applyBorder="1" applyAlignment="1" applyProtection="1">
      <alignment vertical="center"/>
    </xf>
    <xf numFmtId="0" fontId="0" fillId="0" borderId="155" xfId="0" applyBorder="1" applyAlignment="1" applyProtection="1">
      <alignment horizontal="center" vertical="center"/>
    </xf>
    <xf numFmtId="0" fontId="0" fillId="16" borderId="184" xfId="0" applyFill="1" applyBorder="1" applyAlignment="1" applyProtection="1">
      <alignment horizontal="center" vertical="center"/>
    </xf>
    <xf numFmtId="0" fontId="0" fillId="0" borderId="32" xfId="0" applyBorder="1" applyAlignment="1" applyProtection="1">
      <alignment vertical="center"/>
    </xf>
    <xf numFmtId="0" fontId="0" fillId="6" borderId="33" xfId="0" applyFill="1" applyBorder="1" applyAlignment="1" applyProtection="1">
      <alignment horizontal="center" vertical="center"/>
      <protection locked="0"/>
    </xf>
    <xf numFmtId="0" fontId="1" fillId="0" borderId="0" xfId="0" applyFont="1" applyBorder="1" applyProtection="1"/>
    <xf numFmtId="0" fontId="51" fillId="0" borderId="0" xfId="0" applyFont="1" applyBorder="1" applyProtection="1"/>
    <xf numFmtId="0" fontId="0" fillId="0" borderId="5" xfId="0" applyBorder="1" applyAlignment="1" applyProtection="1">
      <alignment horizontal="center" vertical="center"/>
    </xf>
    <xf numFmtId="3" fontId="6" fillId="15" borderId="5" xfId="0" applyNumberFormat="1" applyFont="1" applyFill="1" applyBorder="1" applyAlignment="1" applyProtection="1">
      <alignment horizontal="right" vertical="center"/>
    </xf>
    <xf numFmtId="172" fontId="0" fillId="0" borderId="23" xfId="0" applyNumberFormat="1" applyBorder="1" applyAlignment="1" applyProtection="1"/>
    <xf numFmtId="0" fontId="48" fillId="0" borderId="0" xfId="0" applyNumberFormat="1" applyFont="1" applyAlignment="1" applyProtection="1">
      <alignment horizontal="center" vertical="center"/>
    </xf>
    <xf numFmtId="0" fontId="48" fillId="0" borderId="0" xfId="0" applyNumberFormat="1" applyFont="1" applyProtection="1"/>
    <xf numFmtId="0" fontId="48" fillId="0" borderId="170" xfId="0" applyNumberFormat="1" applyFont="1" applyBorder="1" applyProtection="1"/>
    <xf numFmtId="0" fontId="54" fillId="0" borderId="0" xfId="0" applyNumberFormat="1" applyFont="1" applyBorder="1" applyAlignment="1" applyProtection="1">
      <alignment vertical="center"/>
    </xf>
    <xf numFmtId="0" fontId="48" fillId="0" borderId="133" xfId="0" applyNumberFormat="1" applyFont="1" applyBorder="1" applyProtection="1"/>
    <xf numFmtId="0" fontId="48" fillId="0" borderId="135" xfId="0" applyNumberFormat="1" applyFont="1" applyBorder="1" applyProtection="1"/>
    <xf numFmtId="0" fontId="0" fillId="0" borderId="0" xfId="0" applyNumberFormat="1" applyProtection="1"/>
    <xf numFmtId="0" fontId="50" fillId="0" borderId="179" xfId="0" applyFont="1" applyBorder="1" applyAlignment="1">
      <alignment horizontal="center" vertical="center" wrapText="1"/>
    </xf>
    <xf numFmtId="0" fontId="0" fillId="18" borderId="179" xfId="0" applyFill="1" applyBorder="1"/>
    <xf numFmtId="0" fontId="0" fillId="18" borderId="179" xfId="0" applyFill="1" applyBorder="1" applyAlignment="1">
      <alignment horizontal="center" vertical="center"/>
    </xf>
    <xf numFmtId="0" fontId="0" fillId="2" borderId="179" xfId="0" applyFill="1" applyBorder="1"/>
    <xf numFmtId="0" fontId="0" fillId="2" borderId="179" xfId="0" applyFill="1" applyBorder="1" applyAlignment="1">
      <alignment horizontal="center" vertical="center"/>
    </xf>
    <xf numFmtId="0" fontId="0" fillId="2" borderId="0" xfId="0" applyFill="1"/>
    <xf numFmtId="0" fontId="55" fillId="0" borderId="0" xfId="0" applyFont="1" applyAlignment="1">
      <alignment vertical="center"/>
    </xf>
    <xf numFmtId="0" fontId="37" fillId="0" borderId="179" xfId="2" applyBorder="1"/>
    <xf numFmtId="0" fontId="37" fillId="2" borderId="179" xfId="2" applyFill="1" applyBorder="1"/>
    <xf numFmtId="0" fontId="0" fillId="0" borderId="180" xfId="0" applyFont="1" applyBorder="1" applyAlignment="1">
      <alignment horizontal="center" vertical="center"/>
    </xf>
    <xf numFmtId="0" fontId="0" fillId="0" borderId="180" xfId="0" applyFont="1" applyBorder="1"/>
    <xf numFmtId="0" fontId="0" fillId="6" borderId="180" xfId="0" applyFont="1" applyFill="1" applyBorder="1"/>
    <xf numFmtId="0" fontId="0" fillId="0" borderId="179" xfId="0" applyFont="1" applyBorder="1"/>
    <xf numFmtId="0" fontId="0" fillId="4" borderId="0" xfId="0" applyFill="1" applyProtection="1"/>
    <xf numFmtId="0" fontId="0" fillId="0" borderId="0" xfId="0" applyBorder="1"/>
    <xf numFmtId="0" fontId="0" fillId="2" borderId="0" xfId="0" applyFill="1" applyBorder="1"/>
    <xf numFmtId="0" fontId="55" fillId="0" borderId="179" xfId="0" applyFont="1" applyBorder="1" applyAlignment="1">
      <alignment vertical="center"/>
    </xf>
    <xf numFmtId="0" fontId="0" fillId="0" borderId="15" xfId="0" applyBorder="1" applyAlignment="1" applyProtection="1">
      <alignment vertical="center" wrapText="1"/>
    </xf>
    <xf numFmtId="0" fontId="0" fillId="0" borderId="16" xfId="0" applyBorder="1" applyAlignment="1" applyProtection="1">
      <alignment vertical="center" wrapText="1"/>
    </xf>
    <xf numFmtId="0" fontId="0" fillId="0" borderId="12" xfId="0" applyBorder="1" applyAlignment="1" applyProtection="1">
      <alignment vertical="center" wrapText="1"/>
    </xf>
    <xf numFmtId="0" fontId="0" fillId="0" borderId="18" xfId="0" applyBorder="1" applyAlignment="1" applyProtection="1">
      <alignment vertical="center" wrapText="1"/>
    </xf>
    <xf numFmtId="0" fontId="0" fillId="0" borderId="13" xfId="0" applyBorder="1" applyAlignment="1" applyProtection="1">
      <alignment vertical="center" wrapText="1"/>
    </xf>
    <xf numFmtId="0" fontId="56" fillId="9" borderId="0" xfId="0" applyFont="1" applyFill="1" applyAlignment="1" applyProtection="1">
      <alignment horizontal="center" vertical="center"/>
    </xf>
    <xf numFmtId="173" fontId="0" fillId="0" borderId="14" xfId="0" applyNumberFormat="1" applyBorder="1" applyAlignment="1" applyProtection="1">
      <alignment vertical="center" wrapText="1"/>
      <protection locked="0"/>
    </xf>
    <xf numFmtId="0" fontId="4" fillId="0" borderId="36" xfId="0" applyFont="1" applyBorder="1" applyAlignment="1" applyProtection="1">
      <alignment horizontal="center" vertical="center" wrapText="1"/>
    </xf>
    <xf numFmtId="0" fontId="4" fillId="0" borderId="37" xfId="0" applyFont="1" applyBorder="1" applyAlignment="1" applyProtection="1">
      <alignment horizontal="center" vertical="center" wrapText="1"/>
    </xf>
    <xf numFmtId="0" fontId="4" fillId="0" borderId="38" xfId="0" applyFont="1" applyBorder="1" applyAlignment="1" applyProtection="1">
      <alignment horizontal="center" vertical="center" wrapText="1"/>
    </xf>
    <xf numFmtId="0" fontId="4" fillId="0" borderId="39" xfId="0" applyFont="1" applyBorder="1" applyAlignment="1" applyProtection="1">
      <alignment horizontal="center" vertical="center" wrapText="1"/>
    </xf>
    <xf numFmtId="0" fontId="4" fillId="0" borderId="40" xfId="0" applyFont="1" applyBorder="1" applyAlignment="1" applyProtection="1">
      <alignment horizontal="center" vertical="center" wrapText="1"/>
    </xf>
    <xf numFmtId="0" fontId="4" fillId="0" borderId="41" xfId="0" applyFont="1" applyBorder="1" applyAlignment="1" applyProtection="1">
      <alignment horizontal="center" vertical="center" wrapText="1"/>
    </xf>
    <xf numFmtId="0" fontId="7" fillId="0" borderId="0" xfId="0" applyFont="1" applyAlignment="1" applyProtection="1">
      <alignment horizontal="left"/>
    </xf>
    <xf numFmtId="0" fontId="7" fillId="0" borderId="19" xfId="0" applyFont="1" applyBorder="1" applyAlignment="1" applyProtection="1">
      <alignment horizontal="left"/>
    </xf>
    <xf numFmtId="0" fontId="7" fillId="0" borderId="181" xfId="0" applyFont="1" applyBorder="1" applyAlignment="1" applyProtection="1">
      <alignment horizontal="center" vertical="center" wrapText="1"/>
      <protection locked="0"/>
    </xf>
    <xf numFmtId="0" fontId="7" fillId="0" borderId="134" xfId="0" applyFont="1" applyBorder="1" applyAlignment="1" applyProtection="1">
      <alignment horizontal="center" vertical="center" wrapText="1"/>
      <protection locked="0"/>
    </xf>
    <xf numFmtId="0" fontId="7" fillId="0" borderId="135" xfId="0" applyFont="1" applyBorder="1" applyAlignment="1" applyProtection="1">
      <alignment horizontal="center" vertical="center" wrapText="1"/>
      <protection locked="0"/>
    </xf>
    <xf numFmtId="0" fontId="0" fillId="0" borderId="133" xfId="0" applyBorder="1" applyAlignment="1" applyProtection="1">
      <alignment horizontal="center" vertical="center" wrapText="1"/>
      <protection locked="0"/>
    </xf>
    <xf numFmtId="0" fontId="0" fillId="0" borderId="134" xfId="0" applyBorder="1" applyAlignment="1" applyProtection="1">
      <alignment horizontal="center" vertical="center" wrapText="1"/>
      <protection locked="0"/>
    </xf>
    <xf numFmtId="0" fontId="0" fillId="0" borderId="135" xfId="0" applyBorder="1" applyAlignment="1" applyProtection="1">
      <alignment horizontal="center" vertical="center" wrapText="1"/>
      <protection locked="0"/>
    </xf>
    <xf numFmtId="0" fontId="0" fillId="9" borderId="0" xfId="0" applyFill="1" applyAlignment="1" applyProtection="1">
      <alignment horizontal="center"/>
    </xf>
    <xf numFmtId="0" fontId="33" fillId="0" borderId="133" xfId="0" applyFont="1" applyBorder="1" applyAlignment="1" applyProtection="1">
      <alignment horizontal="center" vertical="center" wrapText="1"/>
      <protection locked="0"/>
    </xf>
    <xf numFmtId="0" fontId="33" fillId="0" borderId="134" xfId="0" applyFont="1" applyBorder="1" applyAlignment="1" applyProtection="1">
      <alignment horizontal="center" vertical="center" wrapText="1"/>
      <protection locked="0"/>
    </xf>
    <xf numFmtId="0" fontId="33" fillId="0" borderId="135" xfId="0" applyFont="1" applyBorder="1" applyAlignment="1" applyProtection="1">
      <alignment horizontal="center" vertical="center" wrapText="1"/>
      <protection locked="0"/>
    </xf>
    <xf numFmtId="0" fontId="37" fillId="0" borderId="133" xfId="2" applyBorder="1" applyAlignment="1" applyProtection="1">
      <alignment horizontal="center"/>
      <protection locked="0"/>
    </xf>
    <xf numFmtId="0" fontId="0" fillId="0" borderId="135" xfId="0" applyBorder="1" applyAlignment="1" applyProtection="1">
      <alignment horizontal="center"/>
      <protection locked="0"/>
    </xf>
    <xf numFmtId="0" fontId="0" fillId="0" borderId="133" xfId="0" applyBorder="1" applyAlignment="1" applyProtection="1">
      <alignment horizontal="center"/>
      <protection locked="0"/>
    </xf>
    <xf numFmtId="0" fontId="1" fillId="3" borderId="8" xfId="0" applyFont="1" applyFill="1" applyBorder="1" applyAlignment="1" applyProtection="1">
      <alignment horizontal="center"/>
    </xf>
    <xf numFmtId="0" fontId="1" fillId="3" borderId="10" xfId="0" applyFont="1" applyFill="1" applyBorder="1" applyAlignment="1" applyProtection="1">
      <alignment horizontal="center"/>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34" xfId="0" applyBorder="1" applyAlignment="1" applyProtection="1">
      <alignment horizontal="center"/>
      <protection locked="0"/>
    </xf>
    <xf numFmtId="0" fontId="0" fillId="3" borderId="133" xfId="0" applyFill="1" applyBorder="1" applyAlignment="1" applyProtection="1">
      <alignment horizontal="center"/>
      <protection locked="0"/>
    </xf>
    <xf numFmtId="0" fontId="0" fillId="3" borderId="134" xfId="0" applyFill="1" applyBorder="1" applyAlignment="1" applyProtection="1">
      <alignment horizontal="center"/>
      <protection locked="0"/>
    </xf>
    <xf numFmtId="0" fontId="0" fillId="3" borderId="135" xfId="0" applyFill="1" applyBorder="1" applyAlignment="1" applyProtection="1">
      <alignment horizontal="center"/>
      <protection locked="0"/>
    </xf>
    <xf numFmtId="0" fontId="4" fillId="0" borderId="36"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0" fillId="0" borderId="0" xfId="0" applyAlignment="1">
      <alignment horizontal="center" vertical="top"/>
    </xf>
    <xf numFmtId="0" fontId="0" fillId="0" borderId="166" xfId="0" applyBorder="1" applyAlignment="1" applyProtection="1">
      <alignment horizontal="center" vertical="top"/>
      <protection locked="0"/>
    </xf>
    <xf numFmtId="0" fontId="0" fillId="0" borderId="167" xfId="0" applyBorder="1" applyAlignment="1" applyProtection="1">
      <alignment horizontal="center" vertical="top"/>
      <protection locked="0"/>
    </xf>
    <xf numFmtId="0" fontId="0" fillId="0" borderId="168" xfId="0" applyBorder="1" applyAlignment="1" applyProtection="1">
      <alignment horizontal="center" vertical="top"/>
      <protection locked="0"/>
    </xf>
    <xf numFmtId="0" fontId="0" fillId="0" borderId="163" xfId="0" applyBorder="1" applyAlignment="1" applyProtection="1">
      <alignment vertical="top" wrapText="1"/>
      <protection locked="0"/>
    </xf>
    <xf numFmtId="0" fontId="0" fillId="0" borderId="164" xfId="0" applyBorder="1" applyAlignment="1" applyProtection="1">
      <alignment vertical="top" wrapText="1"/>
      <protection locked="0"/>
    </xf>
    <xf numFmtId="0" fontId="0" fillId="0" borderId="165" xfId="0" applyBorder="1" applyAlignment="1" applyProtection="1">
      <alignment vertical="top" wrapText="1"/>
      <protection locked="0"/>
    </xf>
    <xf numFmtId="0" fontId="0" fillId="0" borderId="133" xfId="0" applyBorder="1" applyAlignment="1" applyProtection="1">
      <alignment vertical="top" wrapText="1"/>
      <protection locked="0"/>
    </xf>
    <xf numFmtId="0" fontId="0" fillId="0" borderId="134" xfId="0" applyBorder="1" applyAlignment="1" applyProtection="1">
      <alignment vertical="top" wrapText="1"/>
      <protection locked="0"/>
    </xf>
    <xf numFmtId="0" fontId="0" fillId="0" borderId="138" xfId="0" applyBorder="1" applyAlignment="1" applyProtection="1">
      <alignment vertical="top" wrapText="1"/>
      <protection locked="0"/>
    </xf>
    <xf numFmtId="0" fontId="0" fillId="0" borderId="142" xfId="0" applyBorder="1" applyAlignment="1" applyProtection="1">
      <alignment horizontal="justify" vertical="top" wrapText="1"/>
      <protection locked="0"/>
    </xf>
    <xf numFmtId="0" fontId="0" fillId="0" borderId="59" xfId="0" applyBorder="1" applyAlignment="1" applyProtection="1">
      <alignment horizontal="justify" vertical="top" wrapText="1"/>
      <protection locked="0"/>
    </xf>
    <xf numFmtId="0" fontId="0" fillId="0" borderId="50" xfId="0" applyBorder="1" applyAlignment="1" applyProtection="1">
      <alignment horizontal="justify" vertical="top" wrapText="1"/>
      <protection locked="0"/>
    </xf>
    <xf numFmtId="0" fontId="0" fillId="13" borderId="142" xfId="0" applyFill="1" applyBorder="1" applyAlignment="1" applyProtection="1">
      <alignment horizontal="justify" vertical="center" wrapText="1"/>
      <protection locked="0"/>
    </xf>
    <xf numFmtId="0" fontId="0" fillId="13" borderId="59" xfId="0" applyFill="1" applyBorder="1" applyAlignment="1" applyProtection="1">
      <alignment horizontal="justify" vertical="center" wrapText="1"/>
      <protection locked="0"/>
    </xf>
    <xf numFmtId="0" fontId="0" fillId="13" borderId="50" xfId="0" applyFill="1" applyBorder="1" applyAlignment="1" applyProtection="1">
      <alignment horizontal="justify" vertical="center" wrapText="1"/>
      <protection locked="0"/>
    </xf>
    <xf numFmtId="0" fontId="0" fillId="0" borderId="139" xfId="0" applyBorder="1" applyAlignment="1" applyProtection="1">
      <alignment horizontal="justify" vertical="top" wrapText="1"/>
      <protection locked="0"/>
    </xf>
    <xf numFmtId="0" fontId="0" fillId="0" borderId="140" xfId="0" applyBorder="1" applyAlignment="1" applyProtection="1">
      <alignment horizontal="justify" vertical="top" wrapText="1"/>
      <protection locked="0"/>
    </xf>
    <xf numFmtId="0" fontId="0" fillId="0" borderId="141" xfId="0" applyBorder="1" applyAlignment="1" applyProtection="1">
      <alignment horizontal="justify" vertical="top" wrapText="1"/>
      <protection locked="0"/>
    </xf>
    <xf numFmtId="0" fontId="0" fillId="13" borderId="142" xfId="0" applyFill="1" applyBorder="1" applyAlignment="1" applyProtection="1">
      <alignment horizontal="justify" vertical="center"/>
      <protection locked="0"/>
    </xf>
    <xf numFmtId="0" fontId="0" fillId="13" borderId="59" xfId="0" applyFill="1" applyBorder="1" applyAlignment="1" applyProtection="1">
      <alignment horizontal="justify" vertical="center"/>
      <protection locked="0"/>
    </xf>
    <xf numFmtId="0" fontId="0" fillId="13" borderId="50" xfId="0" applyFill="1" applyBorder="1" applyAlignment="1" applyProtection="1">
      <alignment horizontal="justify" vertical="center"/>
      <protection locked="0"/>
    </xf>
    <xf numFmtId="0" fontId="0" fillId="0" borderId="93" xfId="0" applyBorder="1" applyAlignment="1" applyProtection="1">
      <alignment horizontal="justify"/>
      <protection locked="0"/>
    </xf>
    <xf numFmtId="0" fontId="0" fillId="0" borderId="94" xfId="0" applyBorder="1" applyAlignment="1" applyProtection="1">
      <alignment horizontal="justify"/>
      <protection locked="0"/>
    </xf>
    <xf numFmtId="0" fontId="0" fillId="0" borderId="95" xfId="0" applyBorder="1" applyAlignment="1" applyProtection="1">
      <alignment horizontal="justify"/>
      <protection locked="0"/>
    </xf>
    <xf numFmtId="0" fontId="0" fillId="0" borderId="97" xfId="0" applyBorder="1" applyAlignment="1" applyProtection="1">
      <alignment horizontal="justify"/>
      <protection locked="0"/>
    </xf>
    <xf numFmtId="0" fontId="0" fillId="0" borderId="98" xfId="0" applyBorder="1" applyAlignment="1" applyProtection="1">
      <alignment horizontal="justify"/>
      <protection locked="0"/>
    </xf>
    <xf numFmtId="0" fontId="0" fillId="0" borderId="99" xfId="0" applyBorder="1" applyAlignment="1" applyProtection="1">
      <alignment horizontal="justify"/>
      <protection locked="0"/>
    </xf>
    <xf numFmtId="0" fontId="0" fillId="13" borderId="93" xfId="0" applyFill="1" applyBorder="1" applyAlignment="1" applyProtection="1">
      <alignment horizontal="justify"/>
      <protection locked="0"/>
    </xf>
    <xf numFmtId="0" fontId="0" fillId="13" borderId="94" xfId="0" applyFill="1" applyBorder="1" applyAlignment="1" applyProtection="1">
      <alignment horizontal="justify"/>
      <protection locked="0"/>
    </xf>
    <xf numFmtId="0" fontId="0" fillId="13" borderId="95" xfId="0" applyFill="1" applyBorder="1" applyAlignment="1" applyProtection="1">
      <alignment horizontal="justify"/>
      <protection locked="0"/>
    </xf>
    <xf numFmtId="0" fontId="0" fillId="0" borderId="83" xfId="0" applyBorder="1" applyAlignment="1" applyProtection="1">
      <alignment horizontal="justify" vertical="top" wrapText="1"/>
      <protection locked="0"/>
    </xf>
    <xf numFmtId="0" fontId="0" fillId="0" borderId="84" xfId="0" applyBorder="1" applyAlignment="1" applyProtection="1">
      <alignment horizontal="justify" vertical="top" wrapText="1"/>
      <protection locked="0"/>
    </xf>
    <xf numFmtId="0" fontId="0" fillId="0" borderId="85" xfId="0" applyBorder="1" applyAlignment="1" applyProtection="1">
      <alignment horizontal="justify" vertical="top" wrapText="1"/>
      <protection locked="0"/>
    </xf>
    <xf numFmtId="0" fontId="0" fillId="0" borderId="87" xfId="0" applyBorder="1" applyAlignment="1">
      <alignment horizontal="center"/>
    </xf>
    <xf numFmtId="0" fontId="0" fillId="0" borderId="57" xfId="0" applyBorder="1" applyAlignment="1">
      <alignment horizontal="center"/>
    </xf>
    <xf numFmtId="0" fontId="0" fillId="0" borderId="58" xfId="0" applyBorder="1" applyAlignment="1">
      <alignment horizontal="center"/>
    </xf>
    <xf numFmtId="0" fontId="0" fillId="0" borderId="89" xfId="0" applyBorder="1" applyAlignment="1" applyProtection="1">
      <alignment horizontal="justify" vertical="center"/>
      <protection locked="0"/>
    </xf>
    <xf numFmtId="0" fontId="0" fillId="0" borderId="90" xfId="0" applyBorder="1" applyAlignment="1" applyProtection="1">
      <alignment horizontal="justify" vertical="center"/>
      <protection locked="0"/>
    </xf>
    <xf numFmtId="0" fontId="0" fillId="0" borderId="91" xfId="0" applyBorder="1" applyAlignment="1" applyProtection="1">
      <alignment horizontal="justify" vertical="center"/>
      <protection locked="0"/>
    </xf>
    <xf numFmtId="0" fontId="0" fillId="13" borderId="93" xfId="0" applyFill="1" applyBorder="1" applyAlignment="1" applyProtection="1">
      <alignment horizontal="justify" vertical="center"/>
      <protection locked="0"/>
    </xf>
    <xf numFmtId="0" fontId="0" fillId="13" borderId="94" xfId="0" applyFill="1" applyBorder="1" applyAlignment="1" applyProtection="1">
      <alignment horizontal="justify" vertical="center"/>
      <protection locked="0"/>
    </xf>
    <xf numFmtId="0" fontId="0" fillId="13" borderId="95" xfId="0" applyFill="1" applyBorder="1" applyAlignment="1" applyProtection="1">
      <alignment horizontal="justify" vertical="center"/>
      <protection locked="0"/>
    </xf>
    <xf numFmtId="0" fontId="53" fillId="0" borderId="36"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38" xfId="0" applyFont="1" applyBorder="1" applyAlignment="1">
      <alignment horizontal="center" vertical="center" wrapText="1"/>
    </xf>
    <xf numFmtId="0" fontId="53" fillId="0" borderId="193" xfId="0" applyFont="1" applyBorder="1" applyAlignment="1">
      <alignment horizontal="center" vertical="center" wrapText="1"/>
    </xf>
    <xf numFmtId="0" fontId="53" fillId="0" borderId="0" xfId="0" applyFont="1" applyBorder="1" applyAlignment="1">
      <alignment horizontal="center" vertical="center" wrapText="1"/>
    </xf>
    <xf numFmtId="0" fontId="53" fillId="0" borderId="194" xfId="0" applyFont="1" applyBorder="1" applyAlignment="1">
      <alignment horizontal="center" vertical="center" wrapText="1"/>
    </xf>
    <xf numFmtId="0" fontId="53" fillId="0" borderId="39" xfId="0" applyFont="1" applyBorder="1" applyAlignment="1">
      <alignment horizontal="center" vertical="center" wrapText="1"/>
    </xf>
    <xf numFmtId="0" fontId="53" fillId="0" borderId="40" xfId="0" applyFont="1" applyBorder="1" applyAlignment="1">
      <alignment horizontal="center" vertical="center" wrapText="1"/>
    </xf>
    <xf numFmtId="0" fontId="53" fillId="0" borderId="41" xfId="0" applyFont="1" applyBorder="1" applyAlignment="1">
      <alignment horizontal="center" vertical="center" wrapText="1"/>
    </xf>
    <xf numFmtId="0" fontId="0" fillId="13" borderId="118" xfId="0" applyFill="1" applyBorder="1" applyAlignment="1" applyProtection="1">
      <alignment horizontal="justify" vertical="top"/>
      <protection locked="0"/>
    </xf>
    <xf numFmtId="0" fontId="0" fillId="13" borderId="119" xfId="0" applyFill="1" applyBorder="1" applyAlignment="1" applyProtection="1">
      <alignment horizontal="justify" vertical="top"/>
      <protection locked="0"/>
    </xf>
    <xf numFmtId="0" fontId="0" fillId="13" borderId="153" xfId="0" applyFill="1" applyBorder="1" applyAlignment="1" applyProtection="1">
      <alignment horizontal="justify" vertical="top"/>
      <protection locked="0"/>
    </xf>
    <xf numFmtId="0" fontId="0" fillId="10" borderId="133" xfId="0" applyFill="1" applyBorder="1" applyAlignment="1" applyProtection="1">
      <alignment horizontal="justify" vertical="top"/>
      <protection locked="0"/>
    </xf>
    <xf numFmtId="0" fontId="0" fillId="10" borderId="134" xfId="0" applyFill="1" applyBorder="1" applyAlignment="1" applyProtection="1">
      <alignment horizontal="justify" vertical="top"/>
      <protection locked="0"/>
    </xf>
    <xf numFmtId="0" fontId="0" fillId="10" borderId="127" xfId="0" applyFill="1" applyBorder="1" applyAlignment="1" applyProtection="1">
      <alignment horizontal="justify" vertical="top"/>
      <protection locked="0"/>
    </xf>
    <xf numFmtId="0" fontId="0" fillId="10" borderId="133" xfId="0" applyFill="1" applyBorder="1" applyAlignment="1" applyProtection="1">
      <alignment horizontal="justify" vertical="top" wrapText="1"/>
      <protection locked="0"/>
    </xf>
    <xf numFmtId="0" fontId="0" fillId="10" borderId="134" xfId="0" applyFill="1" applyBorder="1" applyAlignment="1" applyProtection="1">
      <alignment horizontal="justify" vertical="top" wrapText="1"/>
      <protection locked="0"/>
    </xf>
    <xf numFmtId="0" fontId="0" fillId="10" borderId="127" xfId="0" applyFill="1" applyBorder="1" applyAlignment="1" applyProtection="1">
      <alignment horizontal="justify" vertical="top" wrapText="1"/>
      <protection locked="0"/>
    </xf>
    <xf numFmtId="0" fontId="0" fillId="0" borderId="110" xfId="0" applyBorder="1" applyAlignment="1" applyProtection="1">
      <alignment horizontal="justify" vertical="top" wrapText="1"/>
      <protection locked="0"/>
    </xf>
    <xf numFmtId="0" fontId="0" fillId="0" borderId="111" xfId="0" applyBorder="1" applyAlignment="1" applyProtection="1">
      <alignment horizontal="justify" vertical="top" wrapText="1"/>
      <protection locked="0"/>
    </xf>
    <xf numFmtId="0" fontId="0" fillId="0" borderId="152" xfId="0" applyBorder="1" applyAlignment="1" applyProtection="1">
      <alignment horizontal="justify" vertical="top" wrapText="1"/>
      <protection locked="0"/>
    </xf>
    <xf numFmtId="0" fontId="0" fillId="13" borderId="133" xfId="0" applyFill="1" applyBorder="1" applyAlignment="1" applyProtection="1">
      <alignment horizontal="justify" vertical="top" wrapText="1"/>
      <protection locked="0"/>
    </xf>
    <xf numFmtId="0" fontId="0" fillId="13" borderId="134" xfId="0" applyFill="1" applyBorder="1" applyAlignment="1" applyProtection="1">
      <alignment horizontal="justify" vertical="top"/>
      <protection locked="0"/>
    </xf>
    <xf numFmtId="0" fontId="0" fillId="13" borderId="127" xfId="0" applyFill="1" applyBorder="1" applyAlignment="1" applyProtection="1">
      <alignment horizontal="justify" vertical="top"/>
      <protection locked="0"/>
    </xf>
    <xf numFmtId="0" fontId="0" fillId="13" borderId="134" xfId="0" applyFill="1" applyBorder="1" applyAlignment="1" applyProtection="1">
      <alignment horizontal="justify" vertical="top" wrapText="1"/>
      <protection locked="0"/>
    </xf>
    <xf numFmtId="0" fontId="0" fillId="13" borderId="127" xfId="0" applyFill="1" applyBorder="1" applyAlignment="1" applyProtection="1">
      <alignment horizontal="justify" vertical="top" wrapText="1"/>
      <protection locked="0"/>
    </xf>
    <xf numFmtId="0" fontId="0" fillId="0" borderId="139" xfId="0" applyBorder="1" applyAlignment="1" applyProtection="1">
      <alignment horizontal="justify" vertical="center" wrapText="1"/>
      <protection locked="0"/>
    </xf>
    <xf numFmtId="0" fontId="0" fillId="0" borderId="140" xfId="0" applyBorder="1" applyAlignment="1" applyProtection="1">
      <alignment horizontal="justify" vertical="center" wrapText="1"/>
      <protection locked="0"/>
    </xf>
    <xf numFmtId="0" fontId="0" fillId="0" borderId="141" xfId="0" applyBorder="1" applyAlignment="1" applyProtection="1">
      <alignment horizontal="justify" vertical="center" wrapText="1"/>
      <protection locked="0"/>
    </xf>
    <xf numFmtId="0" fontId="0" fillId="0" borderId="142" xfId="0" applyBorder="1" applyAlignment="1" applyProtection="1">
      <alignment horizontal="justify" vertical="center" wrapText="1"/>
      <protection locked="0"/>
    </xf>
    <xf numFmtId="0" fontId="0" fillId="0" borderId="59" xfId="0" applyBorder="1" applyAlignment="1" applyProtection="1">
      <alignment horizontal="justify" vertical="center" wrapText="1"/>
      <protection locked="0"/>
    </xf>
    <xf numFmtId="0" fontId="0" fillId="0" borderId="50" xfId="0" applyBorder="1" applyAlignment="1" applyProtection="1">
      <alignment horizontal="justify" vertical="center" wrapText="1"/>
      <protection locked="0"/>
    </xf>
    <xf numFmtId="0" fontId="0" fillId="13" borderId="143" xfId="0" applyFill="1" applyBorder="1" applyAlignment="1" applyProtection="1">
      <alignment horizontal="justify" vertical="center"/>
      <protection locked="0"/>
    </xf>
    <xf numFmtId="0" fontId="0" fillId="13" borderId="60" xfId="0" applyFill="1" applyBorder="1" applyAlignment="1" applyProtection="1">
      <alignment horizontal="justify" vertical="center"/>
      <protection locked="0"/>
    </xf>
    <xf numFmtId="0" fontId="0" fillId="13" borderId="55" xfId="0" applyFill="1" applyBorder="1" applyAlignment="1" applyProtection="1">
      <alignment horizontal="justify" vertical="center"/>
      <protection locked="0"/>
    </xf>
    <xf numFmtId="0" fontId="0" fillId="0" borderId="0" xfId="0" applyAlignment="1" applyProtection="1">
      <alignment horizontal="center" vertical="top"/>
    </xf>
    <xf numFmtId="0" fontId="1" fillId="0" borderId="110" xfId="0" applyFont="1" applyBorder="1" applyAlignment="1" applyProtection="1">
      <alignment horizontal="center" vertical="center" wrapText="1"/>
    </xf>
    <xf numFmtId="0" fontId="1" fillId="0" borderId="111" xfId="0" applyFont="1" applyBorder="1" applyAlignment="1" applyProtection="1">
      <alignment horizontal="center" vertical="center" wrapText="1"/>
    </xf>
    <xf numFmtId="0" fontId="1" fillId="0" borderId="112" xfId="0" applyFont="1" applyBorder="1" applyAlignment="1" applyProtection="1">
      <alignment horizontal="center" vertical="center" wrapText="1"/>
    </xf>
    <xf numFmtId="0" fontId="0" fillId="13" borderId="133" xfId="0" applyFill="1" applyBorder="1" applyAlignment="1" applyProtection="1">
      <alignment horizontal="left" vertical="top" wrapText="1"/>
      <protection locked="0"/>
    </xf>
    <xf numFmtId="0" fontId="0" fillId="13" borderId="134" xfId="0" applyFill="1" applyBorder="1" applyAlignment="1" applyProtection="1">
      <alignment horizontal="left" vertical="top" wrapText="1"/>
      <protection locked="0"/>
    </xf>
    <xf numFmtId="0" fontId="0" fillId="13" borderId="135" xfId="0" applyFill="1" applyBorder="1" applyAlignment="1" applyProtection="1">
      <alignment horizontal="left" vertical="top" wrapText="1"/>
      <protection locked="0"/>
    </xf>
    <xf numFmtId="0" fontId="0" fillId="0" borderId="133" xfId="0" applyBorder="1" applyAlignment="1" applyProtection="1">
      <alignment horizontal="left" vertical="top" wrapText="1"/>
      <protection locked="0"/>
    </xf>
    <xf numFmtId="0" fontId="0" fillId="0" borderId="134" xfId="0" applyBorder="1" applyAlignment="1" applyProtection="1">
      <alignment horizontal="left" vertical="top" wrapText="1"/>
      <protection locked="0"/>
    </xf>
    <xf numFmtId="0" fontId="0" fillId="0" borderId="135" xfId="0" applyBorder="1" applyAlignment="1" applyProtection="1">
      <alignment horizontal="left" vertical="top" wrapText="1"/>
      <protection locked="0"/>
    </xf>
    <xf numFmtId="0" fontId="0" fillId="0" borderId="133" xfId="0" applyBorder="1" applyAlignment="1" applyProtection="1">
      <alignment horizontal="left" vertical="top"/>
      <protection locked="0"/>
    </xf>
    <xf numFmtId="0" fontId="0" fillId="0" borderId="134" xfId="0" applyBorder="1" applyAlignment="1" applyProtection="1">
      <alignment horizontal="left" vertical="top"/>
      <protection locked="0"/>
    </xf>
    <xf numFmtId="0" fontId="0" fillId="0" borderId="135" xfId="0" applyBorder="1" applyAlignment="1" applyProtection="1">
      <alignment horizontal="left" vertical="top"/>
      <protection locked="0"/>
    </xf>
    <xf numFmtId="0" fontId="52" fillId="0" borderId="118" xfId="0" applyFont="1" applyBorder="1" applyAlignment="1" applyProtection="1">
      <alignment horizontal="center" vertical="center"/>
    </xf>
    <xf numFmtId="0" fontId="52" fillId="0" borderId="119" xfId="0" applyFont="1" applyBorder="1" applyAlignment="1" applyProtection="1">
      <alignment horizontal="center" vertical="center"/>
    </xf>
    <xf numFmtId="0" fontId="44" fillId="0" borderId="36" xfId="0" applyFont="1" applyBorder="1" applyAlignment="1">
      <alignment horizontal="center" vertical="center" wrapText="1"/>
    </xf>
    <xf numFmtId="0" fontId="44" fillId="0" borderId="38" xfId="0" applyFont="1" applyBorder="1" applyAlignment="1">
      <alignment horizontal="center" vertical="center" wrapText="1"/>
    </xf>
    <xf numFmtId="0" fontId="44" fillId="0" borderId="21" xfId="0" applyFont="1" applyBorder="1" applyAlignment="1">
      <alignment horizontal="center" vertical="center" wrapText="1"/>
    </xf>
    <xf numFmtId="0" fontId="44" fillId="0" borderId="22" xfId="0" applyFont="1" applyBorder="1" applyAlignment="1">
      <alignment horizontal="center" vertical="center" wrapText="1"/>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164" fontId="1" fillId="3" borderId="106" xfId="3" applyFont="1" applyFill="1" applyBorder="1" applyAlignment="1">
      <alignment horizontal="center"/>
    </xf>
    <xf numFmtId="164" fontId="1" fillId="3" borderId="22" xfId="3" applyFont="1" applyFill="1" applyBorder="1" applyAlignment="1">
      <alignment horizontal="center"/>
    </xf>
    <xf numFmtId="0" fontId="13" fillId="0" borderId="0" xfId="0" applyFont="1" applyAlignment="1">
      <alignment horizontal="center"/>
    </xf>
    <xf numFmtId="0" fontId="0" fillId="0" borderId="21" xfId="0" applyBorder="1" applyAlignment="1" applyProtection="1">
      <alignment horizontal="center" vertical="center" wrapText="1"/>
    </xf>
    <xf numFmtId="0" fontId="0" fillId="0" borderId="22" xfId="0" applyBorder="1" applyAlignment="1" applyProtection="1">
      <alignment horizontal="center" vertical="center" wrapText="1"/>
    </xf>
    <xf numFmtId="0" fontId="0" fillId="0" borderId="43" xfId="0" applyBorder="1" applyAlignment="1">
      <alignment horizontal="center" vertical="center" wrapText="1"/>
    </xf>
    <xf numFmtId="0" fontId="38" fillId="0" borderId="43" xfId="0" applyFont="1" applyBorder="1" applyAlignment="1">
      <alignment horizontal="center" vertical="center" wrapText="1"/>
    </xf>
    <xf numFmtId="0" fontId="38" fillId="0" borderId="44" xfId="0" applyFont="1" applyBorder="1" applyAlignment="1">
      <alignment horizontal="center" vertical="center" wrapText="1"/>
    </xf>
    <xf numFmtId="0" fontId="0" fillId="0" borderId="46"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46"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0" fillId="0" borderId="49"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49"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0" fillId="0" borderId="52" xfId="0" applyBorder="1" applyAlignment="1" applyProtection="1">
      <alignment vertical="center"/>
      <protection locked="0"/>
    </xf>
    <xf numFmtId="0" fontId="0" fillId="0" borderId="53" xfId="0" applyBorder="1" applyAlignment="1" applyProtection="1">
      <alignment vertical="center"/>
      <protection locked="0"/>
    </xf>
    <xf numFmtId="0" fontId="0" fillId="0" borderId="52"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1" fillId="0" borderId="26" xfId="0" applyFont="1" applyBorder="1" applyAlignment="1" applyProtection="1">
      <alignment horizontal="center" vertical="center"/>
    </xf>
    <xf numFmtId="0" fontId="1" fillId="0" borderId="27" xfId="0" applyFont="1" applyBorder="1" applyAlignment="1" applyProtection="1">
      <alignment horizontal="center" vertical="center"/>
    </xf>
    <xf numFmtId="0" fontId="28" fillId="0" borderId="15" xfId="0" applyFont="1" applyBorder="1" applyAlignment="1" applyProtection="1">
      <alignment horizontal="center" wrapText="1"/>
    </xf>
    <xf numFmtId="0" fontId="0" fillId="6" borderId="33" xfId="0" applyFill="1" applyBorder="1" applyAlignment="1" applyProtection="1">
      <alignment horizontal="center" vertical="center"/>
      <protection locked="0"/>
    </xf>
    <xf numFmtId="0" fontId="0" fillId="6" borderId="35" xfId="0" applyFill="1" applyBorder="1" applyAlignment="1" applyProtection="1">
      <alignment horizontal="center" vertical="center"/>
      <protection locked="0"/>
    </xf>
    <xf numFmtId="0" fontId="0" fillId="0" borderId="187" xfId="0" applyBorder="1" applyAlignment="1" applyProtection="1">
      <alignment horizontal="center" vertical="center"/>
      <protection locked="0"/>
    </xf>
    <xf numFmtId="0" fontId="0" fillId="0" borderId="188" xfId="0" applyBorder="1" applyAlignment="1" applyProtection="1">
      <alignment horizontal="center" vertical="center"/>
      <protection locked="0"/>
    </xf>
    <xf numFmtId="0" fontId="0" fillId="6" borderId="34" xfId="0" applyFill="1" applyBorder="1" applyAlignment="1" applyProtection="1">
      <alignment horizontal="center" vertical="center"/>
      <protection locked="0"/>
    </xf>
    <xf numFmtId="0" fontId="0" fillId="0" borderId="183" xfId="0" applyBorder="1" applyAlignment="1" applyProtection="1">
      <alignment horizontal="center" vertical="center"/>
    </xf>
    <xf numFmtId="0" fontId="0" fillId="0" borderId="182" xfId="0" applyBorder="1" applyAlignment="1" applyProtection="1">
      <alignment horizontal="center" vertical="center"/>
    </xf>
    <xf numFmtId="0" fontId="0" fillId="0" borderId="192" xfId="0" applyBorder="1" applyAlignment="1" applyProtection="1">
      <alignment horizontal="center" vertical="center"/>
    </xf>
    <xf numFmtId="0" fontId="0" fillId="0" borderId="33" xfId="0" applyBorder="1" applyAlignment="1" applyProtection="1">
      <alignment horizontal="center" vertical="center"/>
      <protection locked="0"/>
    </xf>
    <xf numFmtId="0" fontId="0" fillId="0" borderId="190"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0" fillId="0" borderId="191" xfId="0" applyBorder="1" applyAlignment="1" applyProtection="1">
      <alignment horizontal="center" vertical="center"/>
    </xf>
    <xf numFmtId="0" fontId="0" fillId="6" borderId="184" xfId="0" applyFill="1" applyBorder="1" applyAlignment="1" applyProtection="1">
      <alignment horizontal="center" vertical="center"/>
      <protection locked="0"/>
    </xf>
    <xf numFmtId="0" fontId="0" fillId="6" borderId="186" xfId="0" applyFill="1"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6" borderId="185" xfId="0" applyFill="1" applyBorder="1" applyAlignment="1" applyProtection="1">
      <alignment horizontal="center" vertical="center"/>
      <protection locked="0"/>
    </xf>
    <xf numFmtId="0" fontId="0" fillId="0" borderId="171" xfId="0" applyBorder="1" applyAlignment="1" applyProtection="1">
      <alignment horizontal="left" vertical="center" wrapText="1"/>
    </xf>
    <xf numFmtId="0" fontId="0" fillId="0" borderId="111" xfId="0" applyBorder="1" applyAlignment="1" applyProtection="1">
      <alignment horizontal="left" vertical="center" wrapText="1"/>
    </xf>
    <xf numFmtId="0" fontId="0" fillId="0" borderId="152" xfId="0" applyBorder="1" applyAlignment="1" applyProtection="1">
      <alignment horizontal="left" vertical="center" wrapText="1"/>
    </xf>
    <xf numFmtId="0" fontId="0" fillId="0" borderId="119" xfId="0" applyBorder="1" applyAlignment="1" applyProtection="1">
      <alignment horizontal="left" vertical="center" wrapText="1"/>
    </xf>
    <xf numFmtId="0" fontId="0" fillId="0" borderId="153" xfId="0" applyBorder="1" applyAlignment="1" applyProtection="1">
      <alignment horizontal="left" vertical="center" wrapText="1"/>
    </xf>
    <xf numFmtId="0" fontId="1" fillId="0" borderId="43" xfId="0" applyFont="1" applyBorder="1" applyAlignment="1" applyProtection="1">
      <alignment horizontal="center" vertical="center"/>
    </xf>
    <xf numFmtId="0" fontId="1" fillId="0" borderId="56" xfId="0" applyFont="1" applyBorder="1" applyAlignment="1" applyProtection="1">
      <alignment horizontal="center" vertical="center"/>
    </xf>
    <xf numFmtId="0" fontId="0" fillId="0" borderId="14" xfId="0" applyFont="1" applyBorder="1" applyAlignment="1" applyProtection="1">
      <alignment horizontal="center" vertical="center" wrapText="1"/>
    </xf>
    <xf numFmtId="0" fontId="0" fillId="0" borderId="16" xfId="0" applyFont="1" applyBorder="1" applyAlignment="1" applyProtection="1">
      <alignment horizontal="center" vertical="center" wrapText="1"/>
    </xf>
    <xf numFmtId="0" fontId="0" fillId="0" borderId="17" xfId="0" applyFont="1" applyBorder="1" applyAlignment="1" applyProtection="1">
      <alignment horizontal="center" vertical="center" wrapText="1"/>
    </xf>
    <xf numFmtId="0" fontId="0" fillId="0" borderId="19" xfId="0" applyFont="1" applyBorder="1" applyAlignment="1" applyProtection="1">
      <alignment horizontal="center" vertical="center" wrapText="1"/>
    </xf>
    <xf numFmtId="0" fontId="0" fillId="0" borderId="103" xfId="0" applyFont="1" applyBorder="1" applyAlignment="1" applyProtection="1">
      <alignment horizontal="center" vertical="center" wrapText="1"/>
    </xf>
    <xf numFmtId="0" fontId="0" fillId="0" borderId="108" xfId="0" applyFont="1" applyBorder="1" applyAlignment="1" applyProtection="1">
      <alignment horizontal="center" vertical="center" wrapText="1"/>
    </xf>
    <xf numFmtId="169" fontId="0" fillId="9" borderId="104" xfId="0" applyNumberFormat="1" applyFill="1" applyBorder="1" applyAlignment="1" applyProtection="1">
      <alignment horizontal="center"/>
    </xf>
    <xf numFmtId="169" fontId="0" fillId="9" borderId="22" xfId="0" applyNumberFormat="1" applyFill="1" applyBorder="1" applyAlignment="1" applyProtection="1">
      <alignment horizontal="center"/>
    </xf>
    <xf numFmtId="0" fontId="29" fillId="9" borderId="21" xfId="0" applyFont="1" applyFill="1" applyBorder="1" applyAlignment="1" applyProtection="1">
      <alignment horizontal="center"/>
    </xf>
    <xf numFmtId="0" fontId="29" fillId="9" borderId="104" xfId="0" applyFont="1" applyFill="1" applyBorder="1" applyAlignment="1" applyProtection="1">
      <alignment horizontal="center"/>
    </xf>
    <xf numFmtId="0" fontId="0" fillId="0" borderId="56" xfId="0" applyBorder="1" applyAlignment="1" applyProtection="1">
      <alignment horizontal="center" vertical="center"/>
    </xf>
    <xf numFmtId="0" fontId="0" fillId="0" borderId="175" xfId="0" applyBorder="1" applyAlignment="1" applyProtection="1">
      <alignment horizontal="center" vertical="center"/>
    </xf>
    <xf numFmtId="0" fontId="0" fillId="0" borderId="49" xfId="0" applyBorder="1" applyAlignment="1" applyProtection="1">
      <alignment vertical="center"/>
      <protection locked="0"/>
    </xf>
    <xf numFmtId="0" fontId="0" fillId="0" borderId="4" xfId="0" applyBorder="1" applyAlignment="1" applyProtection="1">
      <alignment vertical="center"/>
      <protection locked="0"/>
    </xf>
    <xf numFmtId="0" fontId="0" fillId="0" borderId="173" xfId="0" applyBorder="1" applyAlignment="1" applyProtection="1">
      <alignment vertical="center"/>
      <protection locked="0"/>
    </xf>
    <xf numFmtId="0" fontId="0" fillId="0" borderId="174" xfId="0" applyBorder="1" applyAlignment="1" applyProtection="1">
      <alignment vertical="center"/>
      <protection locked="0"/>
    </xf>
    <xf numFmtId="0" fontId="0" fillId="0" borderId="138" xfId="0" applyBorder="1" applyAlignment="1" applyProtection="1">
      <alignment horizontal="left" vertical="top" wrapText="1"/>
      <protection locked="0"/>
    </xf>
    <xf numFmtId="0" fontId="0" fillId="13" borderId="138" xfId="0" applyFill="1" applyBorder="1" applyAlignment="1" applyProtection="1">
      <alignment horizontal="left" vertical="top" wrapText="1"/>
      <protection locked="0"/>
    </xf>
    <xf numFmtId="0" fontId="1" fillId="0" borderId="146" xfId="0" applyFont="1" applyBorder="1" applyAlignment="1">
      <alignment horizontal="center" vertical="center"/>
    </xf>
    <xf numFmtId="0" fontId="1" fillId="0" borderId="104" xfId="0" applyFont="1" applyBorder="1" applyAlignment="1">
      <alignment horizontal="center" vertical="center"/>
    </xf>
    <xf numFmtId="0" fontId="1" fillId="0" borderId="22" xfId="0" applyFont="1" applyBorder="1" applyAlignment="1">
      <alignment horizontal="center" vertical="center"/>
    </xf>
    <xf numFmtId="0" fontId="0" fillId="0" borderId="110" xfId="0" applyBorder="1" applyAlignment="1" applyProtection="1">
      <alignment horizontal="left" vertical="top" wrapText="1"/>
      <protection locked="0"/>
    </xf>
    <xf numFmtId="0" fontId="0" fillId="0" borderId="111" xfId="0" applyBorder="1" applyAlignment="1" applyProtection="1">
      <alignment horizontal="left" vertical="top" wrapText="1"/>
      <protection locked="0"/>
    </xf>
    <xf numFmtId="0" fontId="0" fillId="0" borderId="147" xfId="0" applyBorder="1" applyAlignment="1" applyProtection="1">
      <alignment horizontal="left" vertical="top" wrapText="1"/>
      <protection locked="0"/>
    </xf>
    <xf numFmtId="0" fontId="0" fillId="10" borderId="118" xfId="0" applyFill="1" applyBorder="1" applyAlignment="1" applyProtection="1">
      <alignment horizontal="justify" vertical="top" wrapText="1"/>
      <protection locked="0"/>
    </xf>
    <xf numFmtId="0" fontId="0" fillId="10" borderId="119" xfId="0" applyFill="1" applyBorder="1" applyAlignment="1" applyProtection="1">
      <alignment horizontal="justify" vertical="top"/>
      <protection locked="0"/>
    </xf>
    <xf numFmtId="0" fontId="0" fillId="10" borderId="153" xfId="0" applyFill="1" applyBorder="1" applyAlignment="1" applyProtection="1">
      <alignment horizontal="justify" vertical="top"/>
      <protection locked="0"/>
    </xf>
    <xf numFmtId="0" fontId="0" fillId="13" borderId="115" xfId="0" applyFill="1" applyBorder="1" applyAlignment="1" applyProtection="1">
      <alignment horizontal="center" vertical="top"/>
      <protection locked="0"/>
    </xf>
    <xf numFmtId="0" fontId="0" fillId="13" borderId="132" xfId="0" applyFill="1" applyBorder="1" applyAlignment="1" applyProtection="1">
      <alignment horizontal="center" vertical="top"/>
      <protection locked="0"/>
    </xf>
    <xf numFmtId="0" fontId="0" fillId="13" borderId="116" xfId="0" applyFill="1" applyBorder="1" applyAlignment="1" applyProtection="1">
      <alignment horizontal="center" vertical="top"/>
      <protection locked="0"/>
    </xf>
    <xf numFmtId="0" fontId="0" fillId="0" borderId="115" xfId="0" applyBorder="1" applyAlignment="1" applyProtection="1">
      <alignment horizontal="center" vertical="top"/>
      <protection locked="0"/>
    </xf>
    <xf numFmtId="0" fontId="0" fillId="0" borderId="132" xfId="0" applyBorder="1" applyAlignment="1" applyProtection="1">
      <alignment horizontal="center" vertical="top"/>
      <protection locked="0"/>
    </xf>
    <xf numFmtId="0" fontId="0" fillId="0" borderId="116" xfId="0" applyBorder="1" applyAlignment="1" applyProtection="1">
      <alignment horizontal="center" vertical="top"/>
      <protection locked="0"/>
    </xf>
    <xf numFmtId="0" fontId="0" fillId="0" borderId="117" xfId="0" applyBorder="1" applyAlignment="1" applyProtection="1">
      <alignment horizontal="center" vertical="top"/>
      <protection locked="0"/>
    </xf>
    <xf numFmtId="0" fontId="0" fillId="0" borderId="120" xfId="0" applyBorder="1" applyAlignment="1" applyProtection="1">
      <alignment horizontal="center" vertical="top"/>
      <protection locked="0"/>
    </xf>
    <xf numFmtId="0" fontId="0" fillId="0" borderId="121" xfId="0" applyBorder="1" applyAlignment="1" applyProtection="1">
      <alignment horizontal="center" vertical="top"/>
      <protection locked="0"/>
    </xf>
    <xf numFmtId="0" fontId="0" fillId="0" borderId="0" xfId="0" applyAlignment="1" applyProtection="1">
      <alignment horizontal="center" vertical="top"/>
      <protection locked="0"/>
    </xf>
    <xf numFmtId="0" fontId="0" fillId="0" borderId="109" xfId="0" applyBorder="1" applyAlignment="1" applyProtection="1">
      <alignment horizontal="center" vertical="top" wrapText="1"/>
      <protection locked="0"/>
    </xf>
    <xf numFmtId="0" fontId="0" fillId="0" borderId="113" xfId="0" applyBorder="1" applyAlignment="1" applyProtection="1">
      <alignment horizontal="center" vertical="top"/>
      <protection locked="0"/>
    </xf>
    <xf numFmtId="0" fontId="0" fillId="0" borderId="114" xfId="0" applyBorder="1" applyAlignment="1" applyProtection="1">
      <alignment horizontal="center" vertical="top"/>
      <protection locked="0"/>
    </xf>
    <xf numFmtId="0" fontId="0" fillId="0" borderId="12" xfId="0" applyBorder="1" applyAlignment="1" applyProtection="1">
      <alignment horizontal="justify" vertical="top" wrapText="1"/>
    </xf>
    <xf numFmtId="0" fontId="0" fillId="0" borderId="18" xfId="0" applyBorder="1" applyAlignment="1" applyProtection="1">
      <alignment horizontal="justify" vertical="top" wrapText="1"/>
    </xf>
    <xf numFmtId="0" fontId="0" fillId="0" borderId="130" xfId="0" applyBorder="1" applyAlignment="1" applyProtection="1">
      <alignment horizontal="justify" vertical="top" wrapText="1"/>
    </xf>
    <xf numFmtId="0" fontId="0" fillId="13" borderId="133" xfId="0" applyFill="1" applyBorder="1" applyAlignment="1" applyProtection="1">
      <alignment horizontal="left" vertical="center" wrapText="1"/>
    </xf>
    <xf numFmtId="0" fontId="0" fillId="13" borderId="134" xfId="0" applyFill="1" applyBorder="1" applyAlignment="1" applyProtection="1">
      <alignment horizontal="left" vertical="center" wrapText="1"/>
    </xf>
    <xf numFmtId="0" fontId="0" fillId="13" borderId="127" xfId="0" applyFill="1" applyBorder="1" applyAlignment="1" applyProtection="1">
      <alignment horizontal="left" vertical="center" wrapText="1"/>
    </xf>
    <xf numFmtId="0" fontId="0" fillId="0" borderId="133" xfId="0" applyBorder="1" applyAlignment="1" applyProtection="1">
      <alignment horizontal="justify" vertical="top" wrapText="1"/>
    </xf>
    <xf numFmtId="0" fontId="0" fillId="0" borderId="134" xfId="0" applyBorder="1" applyAlignment="1" applyProtection="1">
      <alignment horizontal="justify" vertical="top" wrapText="1"/>
    </xf>
    <xf numFmtId="0" fontId="0" fillId="0" borderId="127" xfId="0" applyBorder="1" applyAlignment="1" applyProtection="1">
      <alignment horizontal="justify" vertical="top" wrapText="1"/>
    </xf>
    <xf numFmtId="0" fontId="0" fillId="0" borderId="133" xfId="0" applyBorder="1" applyAlignment="1" applyProtection="1">
      <alignment horizontal="justify" vertical="top"/>
    </xf>
    <xf numFmtId="0" fontId="0" fillId="0" borderId="134" xfId="0" applyBorder="1" applyAlignment="1" applyProtection="1">
      <alignment horizontal="justify" vertical="top"/>
    </xf>
    <xf numFmtId="0" fontId="0" fillId="0" borderId="127" xfId="0" applyBorder="1" applyAlignment="1" applyProtection="1">
      <alignment horizontal="justify" vertical="top"/>
    </xf>
    <xf numFmtId="0" fontId="0" fillId="13" borderId="133" xfId="0" applyFill="1" applyBorder="1" applyAlignment="1" applyProtection="1">
      <alignment horizontal="justify" vertical="top" wrapText="1"/>
    </xf>
    <xf numFmtId="0" fontId="0" fillId="13" borderId="134" xfId="0" applyFill="1" applyBorder="1" applyAlignment="1" applyProtection="1">
      <alignment horizontal="justify" vertical="top" wrapText="1"/>
    </xf>
    <xf numFmtId="0" fontId="0" fillId="13" borderId="127" xfId="0" applyFill="1" applyBorder="1" applyAlignment="1" applyProtection="1">
      <alignment horizontal="justify" vertical="top" wrapText="1"/>
    </xf>
    <xf numFmtId="0" fontId="0" fillId="13" borderId="133" xfId="0" applyFill="1" applyBorder="1" applyAlignment="1" applyProtection="1">
      <alignment horizontal="center" vertical="top" wrapText="1"/>
    </xf>
    <xf numFmtId="0" fontId="0" fillId="13" borderId="134" xfId="0" applyFill="1" applyBorder="1" applyAlignment="1" applyProtection="1">
      <alignment horizontal="center" vertical="top" wrapText="1"/>
    </xf>
    <xf numFmtId="0" fontId="0" fillId="13" borderId="127" xfId="0" applyFill="1" applyBorder="1" applyAlignment="1" applyProtection="1">
      <alignment horizontal="center" vertical="top" wrapText="1"/>
    </xf>
    <xf numFmtId="0" fontId="0" fillId="0" borderId="118" xfId="0" applyBorder="1" applyAlignment="1" applyProtection="1">
      <alignment horizontal="justify" vertical="top"/>
    </xf>
    <xf numFmtId="0" fontId="0" fillId="0" borderId="119" xfId="0" applyBorder="1" applyAlignment="1" applyProtection="1">
      <alignment horizontal="justify" vertical="top"/>
    </xf>
    <xf numFmtId="0" fontId="0" fillId="0" borderId="153" xfId="0" applyBorder="1" applyAlignment="1" applyProtection="1">
      <alignment horizontal="justify" vertical="top"/>
    </xf>
    <xf numFmtId="0" fontId="0" fillId="13" borderId="8" xfId="0" applyFill="1" applyBorder="1" applyAlignment="1" applyProtection="1">
      <alignment horizontal="center" vertical="center" wrapText="1"/>
    </xf>
    <xf numFmtId="0" fontId="0" fillId="13" borderId="9" xfId="0" applyFill="1" applyBorder="1" applyAlignment="1" applyProtection="1">
      <alignment horizontal="center" vertical="center" wrapText="1"/>
    </xf>
    <xf numFmtId="0" fontId="0" fillId="13" borderId="127" xfId="0" applyFill="1" applyBorder="1" applyAlignment="1" applyProtection="1">
      <alignment horizontal="center" vertical="center" wrapText="1"/>
    </xf>
    <xf numFmtId="0" fontId="1" fillId="0" borderId="43" xfId="0" applyFont="1" applyBorder="1" applyAlignment="1" applyProtection="1">
      <alignment horizontal="center"/>
    </xf>
    <xf numFmtId="0" fontId="1" fillId="0" borderId="44" xfId="0" applyFont="1" applyBorder="1" applyAlignment="1" applyProtection="1">
      <alignment horizontal="center"/>
    </xf>
  </cellXfs>
  <cellStyles count="4">
    <cellStyle name="Hipervínculo" xfId="2" builtinId="8"/>
    <cellStyle name="Millares" xfId="1" builtinId="3"/>
    <cellStyle name="Moneda" xfId="3" builtinId="4"/>
    <cellStyle name="Normal" xfId="0" builtinId="0"/>
  </cellStyles>
  <dxfs count="14">
    <dxf>
      <font>
        <b/>
        <i val="0"/>
        <strike/>
        <color rgb="FFFF0000"/>
      </font>
      <fill>
        <patternFill patternType="none">
          <bgColor auto="1"/>
        </patternFill>
      </fill>
      <border>
        <left style="thin">
          <color rgb="FFFF0000"/>
        </left>
        <right style="thin">
          <color rgb="FFFF0000"/>
        </right>
        <top style="thin">
          <color rgb="FFFF0000"/>
        </top>
        <bottom style="thin">
          <color rgb="FFFF0000"/>
        </bottom>
        <vertical/>
        <horizontal/>
      </border>
    </dxf>
    <dxf>
      <font>
        <color theme="0" tint="-4.9989318521683403E-2"/>
      </font>
    </dxf>
    <dxf>
      <font>
        <color theme="0" tint="-4.9989318521683403E-2"/>
      </font>
    </dxf>
    <dxf>
      <font>
        <b/>
        <i val="0"/>
        <color rgb="FFFF0000"/>
      </font>
    </dxf>
    <dxf>
      <font>
        <color theme="0" tint="-0.24994659260841701"/>
      </font>
      <numFmt numFmtId="2" formatCode="0.00"/>
    </dxf>
    <dxf>
      <font>
        <b/>
        <i val="0"/>
        <u/>
        <color rgb="FFFF0000"/>
      </font>
    </dxf>
    <dxf>
      <font>
        <b/>
        <i val="0"/>
        <strike val="0"/>
        <color rgb="FFFF0000"/>
      </font>
      <numFmt numFmtId="174" formatCode="&quot;mal : &quot;###"/>
      <fill>
        <patternFill patternType="none">
          <bgColor auto="1"/>
        </patternFill>
      </fill>
      <border>
        <left style="thin">
          <color rgb="FFFF0000"/>
        </left>
        <right style="thin">
          <color rgb="FFFF0000"/>
        </right>
        <top style="thin">
          <color rgb="FFFF0000"/>
        </top>
        <bottom style="thin">
          <color rgb="FFFF0000"/>
        </bottom>
        <vertical/>
        <horizontal/>
      </border>
    </dxf>
    <dxf>
      <font>
        <b/>
        <i val="0"/>
        <strike/>
        <color rgb="FFFF0000"/>
      </font>
      <fill>
        <patternFill>
          <bgColor rgb="FFEDEBEB"/>
        </patternFill>
      </fill>
      <border>
        <left style="thin">
          <color theme="5" tint="0.39994506668294322"/>
        </left>
        <right style="thin">
          <color theme="5" tint="0.39994506668294322"/>
        </right>
        <top style="thin">
          <color theme="5" tint="0.39994506668294322"/>
        </top>
        <bottom style="thin">
          <color theme="5" tint="0.39994506668294322"/>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DEBEB"/>
      <color rgb="FFEB6767"/>
      <color rgb="FF00FFFF"/>
      <color rgb="FFDBDB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xdr:col>
      <xdr:colOff>1070741</xdr:colOff>
      <xdr:row>0</xdr:row>
      <xdr:rowOff>203638</xdr:rowOff>
    </xdr:from>
    <xdr:to>
      <xdr:col>7</xdr:col>
      <xdr:colOff>331076</xdr:colOff>
      <xdr:row>1</xdr:row>
      <xdr:rowOff>1172894</xdr:rowOff>
    </xdr:to>
    <xdr:grpSp>
      <xdr:nvGrpSpPr>
        <xdr:cNvPr id="4" name="Grupo 3"/>
        <xdr:cNvGrpSpPr/>
      </xdr:nvGrpSpPr>
      <xdr:grpSpPr>
        <a:xfrm>
          <a:off x="1601420" y="203638"/>
          <a:ext cx="5152227" cy="1295827"/>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oneCellAnchor>
    <xdr:from>
      <xdr:col>9</xdr:col>
      <xdr:colOff>369826</xdr:colOff>
      <xdr:row>0</xdr:row>
      <xdr:rowOff>144070</xdr:rowOff>
    </xdr:from>
    <xdr:ext cx="4941101" cy="5622400"/>
    <xdr:sp macro="" textlink="">
      <xdr:nvSpPr>
        <xdr:cNvPr id="8" name="CuadroTexto 7"/>
        <xdr:cNvSpPr txBox="1"/>
      </xdr:nvSpPr>
      <xdr:spPr>
        <a:xfrm>
          <a:off x="8751826" y="144070"/>
          <a:ext cx="4941101" cy="5622400"/>
        </a:xfrm>
        <a:prstGeom prst="rect">
          <a:avLst/>
        </a:prstGeom>
        <a:solidFill>
          <a:schemeClr val="accent4">
            <a:lumMod val="60000"/>
            <a:lumOff val="4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b="1">
              <a:solidFill>
                <a:schemeClr val="tx1"/>
              </a:solidFill>
              <a:effectLst/>
              <a:latin typeface="+mn-lt"/>
              <a:ea typeface="+mn-ea"/>
              <a:cs typeface="+mn-cs"/>
            </a:rPr>
            <a:t>Instrucciones de Diligenciamiento</a:t>
          </a:r>
        </a:p>
        <a:p>
          <a:endParaRPr lang="es-CO" sz="1100">
            <a:solidFill>
              <a:schemeClr val="tx1"/>
            </a:solidFill>
            <a:effectLst/>
            <a:latin typeface="+mn-lt"/>
            <a:ea typeface="+mn-ea"/>
            <a:cs typeface="+mn-cs"/>
          </a:endParaRPr>
        </a:p>
        <a:p>
          <a:r>
            <a:rPr lang="es-CO" sz="1100" b="1">
              <a:solidFill>
                <a:schemeClr val="tx1"/>
              </a:solidFill>
              <a:effectLst/>
              <a:latin typeface="+mn-lt"/>
              <a:ea typeface="+mn-ea"/>
              <a:cs typeface="+mn-cs"/>
            </a:rPr>
            <a:t>El presente formulario ha sido creado en la Vicerrectoría de Investigaciones con el fin de contribuir a la consolidación, organización, postulación y evaluación de las propuestas de investigación que desean optar a recursos financieros para su ejecución.</a:t>
          </a:r>
          <a:endParaRPr lang="es-CO" sz="1100">
            <a:solidFill>
              <a:schemeClr val="tx1"/>
            </a:solidFill>
            <a:effectLst/>
            <a:latin typeface="+mn-lt"/>
            <a:ea typeface="+mn-ea"/>
            <a:cs typeface="+mn-cs"/>
          </a:endParaRPr>
        </a:p>
        <a:p>
          <a:endParaRPr lang="es-CO" sz="1100" b="1">
            <a:solidFill>
              <a:schemeClr val="tx1"/>
            </a:solidFill>
            <a:effectLst/>
            <a:latin typeface="+mn-lt"/>
            <a:ea typeface="+mn-ea"/>
            <a:cs typeface="+mn-cs"/>
          </a:endParaRPr>
        </a:p>
        <a:p>
          <a:r>
            <a:rPr lang="es-CO" sz="1100" b="1">
              <a:solidFill>
                <a:schemeClr val="tx1"/>
              </a:solidFill>
              <a:effectLst/>
              <a:latin typeface="+mn-lt"/>
              <a:ea typeface="+mn-ea"/>
              <a:cs typeface="+mn-cs"/>
            </a:rPr>
            <a:t>Por favor tenga en cuenta las instrucciones que aparecen en cada ítem dentro del formulario y las siguientes</a:t>
          </a:r>
          <a:endParaRPr lang="es-CO" sz="1100">
            <a:solidFill>
              <a:schemeClr val="tx1"/>
            </a:solidFill>
            <a:effectLst/>
            <a:latin typeface="+mn-lt"/>
            <a:ea typeface="+mn-ea"/>
            <a:cs typeface="+mn-cs"/>
          </a:endParaRPr>
        </a:p>
        <a:p>
          <a:endParaRPr lang="es-CO" sz="1100" b="1">
            <a:solidFill>
              <a:schemeClr val="tx1"/>
            </a:solidFill>
            <a:effectLst/>
            <a:latin typeface="+mn-lt"/>
            <a:ea typeface="+mn-ea"/>
            <a:cs typeface="+mn-cs"/>
          </a:endParaRPr>
        </a:p>
        <a:p>
          <a:r>
            <a:rPr lang="es-CO" sz="1100" b="1">
              <a:solidFill>
                <a:schemeClr val="tx1"/>
              </a:solidFill>
              <a:effectLst/>
              <a:latin typeface="+mn-lt"/>
              <a:ea typeface="+mn-ea"/>
              <a:cs typeface="+mn-cs"/>
            </a:rPr>
            <a:t>1.       </a:t>
          </a:r>
          <a:r>
            <a:rPr lang="es-CO" sz="1100">
              <a:solidFill>
                <a:schemeClr val="tx1"/>
              </a:solidFill>
              <a:effectLst/>
              <a:latin typeface="+mn-lt"/>
              <a:ea typeface="+mn-ea"/>
              <a:cs typeface="+mn-cs"/>
            </a:rPr>
            <a:t>Se deben diligenciar todos los campos</a:t>
          </a:r>
        </a:p>
        <a:p>
          <a:r>
            <a:rPr lang="es-CO" sz="1100" b="1">
              <a:solidFill>
                <a:schemeClr val="tx1"/>
              </a:solidFill>
              <a:effectLst/>
              <a:latin typeface="+mn-lt"/>
              <a:ea typeface="+mn-ea"/>
              <a:cs typeface="+mn-cs"/>
            </a:rPr>
            <a:t>2.       </a:t>
          </a:r>
          <a:r>
            <a:rPr lang="es-CO" sz="1100">
              <a:solidFill>
                <a:schemeClr val="tx1"/>
              </a:solidFill>
              <a:effectLst/>
              <a:latin typeface="+mn-lt"/>
              <a:ea typeface="+mn-ea"/>
              <a:cs typeface="+mn-cs"/>
            </a:rPr>
            <a:t>En el momento de diligenciar el formulario pueden aparecer datos en color “rojo”, esto indica que se salen del rango permitido de acuerdo a la convocatoria.</a:t>
          </a:r>
        </a:p>
        <a:p>
          <a:r>
            <a:rPr lang="es-CO" sz="1100" b="1">
              <a:solidFill>
                <a:schemeClr val="tx1"/>
              </a:solidFill>
              <a:effectLst/>
              <a:latin typeface="+mn-lt"/>
              <a:ea typeface="+mn-ea"/>
              <a:cs typeface="+mn-cs"/>
            </a:rPr>
            <a:t>3.       </a:t>
          </a:r>
          <a:r>
            <a:rPr lang="es-CO" sz="1100">
              <a:solidFill>
                <a:schemeClr val="tx1"/>
              </a:solidFill>
              <a:effectLst/>
              <a:latin typeface="+mn-lt"/>
              <a:ea typeface="+mn-ea"/>
              <a:cs typeface="+mn-cs"/>
            </a:rPr>
            <a:t>El formulario debe diligenciarse en orden, para que realice las validaciones pertinentes, no se deben eliminar filas o columnas aunque se puede ajustar el alto de las filas para que salga todo el contenido.</a:t>
          </a:r>
        </a:p>
        <a:p>
          <a:r>
            <a:rPr lang="es-CO" sz="1100" b="1">
              <a:solidFill>
                <a:schemeClr val="tx1"/>
              </a:solidFill>
              <a:effectLst/>
              <a:latin typeface="+mn-lt"/>
              <a:ea typeface="+mn-ea"/>
              <a:cs typeface="+mn-cs"/>
            </a:rPr>
            <a:t>4.       </a:t>
          </a:r>
          <a:r>
            <a:rPr lang="es-CO" sz="1100">
              <a:solidFill>
                <a:schemeClr val="tx1"/>
              </a:solidFill>
              <a:effectLst/>
              <a:latin typeface="+mn-lt"/>
              <a:ea typeface="+mn-ea"/>
              <a:cs typeface="+mn-cs"/>
            </a:rPr>
            <a:t>Para las imágenes o estadísticas las pueden incorporar en las hojas ‘’descripción, metodología, estado del arte’’.</a:t>
          </a:r>
        </a:p>
        <a:p>
          <a:r>
            <a:rPr lang="es-CO" sz="1100" b="1">
              <a:solidFill>
                <a:schemeClr val="tx1"/>
              </a:solidFill>
              <a:effectLst/>
              <a:latin typeface="+mn-lt"/>
              <a:ea typeface="+mn-ea"/>
              <a:cs typeface="+mn-cs"/>
            </a:rPr>
            <a:t>5.       </a:t>
          </a:r>
          <a:r>
            <a:rPr lang="es-CO" sz="1100">
              <a:solidFill>
                <a:schemeClr val="tx1"/>
              </a:solidFill>
              <a:effectLst/>
              <a:latin typeface="+mn-lt"/>
              <a:ea typeface="+mn-ea"/>
              <a:cs typeface="+mn-cs"/>
            </a:rPr>
            <a:t>En la hoja de cronograma los meses de inicio deberán consignarse en número y no deben superar la duración del proyecto en meses.</a:t>
          </a:r>
        </a:p>
        <a:p>
          <a:r>
            <a:rPr lang="es-CO" sz="1100" b="1">
              <a:solidFill>
                <a:schemeClr val="tx1"/>
              </a:solidFill>
              <a:effectLst/>
              <a:latin typeface="+mn-lt"/>
              <a:ea typeface="+mn-ea"/>
              <a:cs typeface="+mn-cs"/>
            </a:rPr>
            <a:t>6.       </a:t>
          </a:r>
          <a:r>
            <a:rPr lang="es-CO" sz="1100">
              <a:solidFill>
                <a:schemeClr val="tx1"/>
              </a:solidFill>
              <a:effectLst/>
              <a:latin typeface="+mn-lt"/>
              <a:ea typeface="+mn-ea"/>
              <a:cs typeface="+mn-cs"/>
            </a:rPr>
            <a:t>Las  franjas oscuras son para validación de datos y no son áreas imprimibles.</a:t>
          </a:r>
        </a:p>
        <a:p>
          <a:r>
            <a:rPr lang="es-CO" sz="1100" b="1">
              <a:solidFill>
                <a:schemeClr val="tx1"/>
              </a:solidFill>
              <a:effectLst/>
              <a:latin typeface="+mn-lt"/>
              <a:ea typeface="+mn-ea"/>
              <a:cs typeface="+mn-cs"/>
            </a:rPr>
            <a:t>7.       </a:t>
          </a:r>
          <a:r>
            <a:rPr lang="es-CO" sz="1100">
              <a:solidFill>
                <a:schemeClr val="tx1"/>
              </a:solidFill>
              <a:effectLst/>
              <a:latin typeface="+mn-lt"/>
              <a:ea typeface="+mn-ea"/>
              <a:cs typeface="+mn-cs"/>
            </a:rPr>
            <a:t>En la hoja Presupuesto se debe diligenciar el sueldo neto para poder consolidar el dato de contrapartida, es importante informar que dicho dato no es visible es sólo para efectos de cálculo de valores.</a:t>
          </a:r>
        </a:p>
        <a:p>
          <a:r>
            <a:rPr lang="es-CO" sz="1100" b="1">
              <a:solidFill>
                <a:schemeClr val="tx1"/>
              </a:solidFill>
              <a:effectLst/>
              <a:latin typeface="+mn-lt"/>
              <a:ea typeface="+mn-ea"/>
              <a:cs typeface="+mn-cs"/>
            </a:rPr>
            <a:t>8.       </a:t>
          </a:r>
          <a:r>
            <a:rPr lang="es-CO" sz="1100">
              <a:solidFill>
                <a:schemeClr val="tx1"/>
              </a:solidFill>
              <a:effectLst/>
              <a:latin typeface="+mn-lt"/>
              <a:ea typeface="+mn-ea"/>
              <a:cs typeface="+mn-cs"/>
            </a:rPr>
            <a:t>Para generar el nombre del archivo, por favor escriba el nombre del tutor más el número de propuesta que desee presentar a esta convocatoria.</a:t>
          </a:r>
        </a:p>
        <a:p>
          <a:r>
            <a:rPr lang="es-CO" sz="1100">
              <a:solidFill>
                <a:schemeClr val="tx1"/>
              </a:solidFill>
              <a:effectLst/>
              <a:latin typeface="+mn-lt"/>
              <a:ea typeface="+mn-ea"/>
              <a:cs typeface="+mn-cs"/>
            </a:rPr>
            <a:t> </a:t>
          </a:r>
        </a:p>
        <a:p>
          <a:r>
            <a:rPr lang="es-CO" sz="1100">
              <a:solidFill>
                <a:schemeClr val="tx1"/>
              </a:solidFill>
              <a:effectLst/>
              <a:latin typeface="+mn-lt"/>
              <a:ea typeface="+mn-ea"/>
              <a:cs typeface="+mn-cs"/>
            </a:rPr>
            <a:t>En caso de tener dificultad con el diligenciamiento, por favor comunicarse con las extensiones 1719 y 1711.</a:t>
          </a:r>
        </a:p>
      </xdr:txBody>
    </xdr:sp>
    <xdr:clientData/>
  </xdr:oneCellAnchor>
  <xdr:twoCellAnchor>
    <xdr:from>
      <xdr:col>1</xdr:col>
      <xdr:colOff>84046</xdr:colOff>
      <xdr:row>1</xdr:row>
      <xdr:rowOff>1019735</xdr:rowOff>
    </xdr:from>
    <xdr:to>
      <xdr:col>2</xdr:col>
      <xdr:colOff>56029</xdr:colOff>
      <xdr:row>1</xdr:row>
      <xdr:rowOff>1167813</xdr:rowOff>
    </xdr:to>
    <xdr:sp macro="" textlink="">
      <xdr:nvSpPr>
        <xdr:cNvPr id="2" name="O 1"/>
        <xdr:cNvSpPr/>
      </xdr:nvSpPr>
      <xdr:spPr>
        <a:xfrm>
          <a:off x="375399" y="1344706"/>
          <a:ext cx="196101" cy="148078"/>
        </a:xfrm>
        <a:prstGeom prst="flowChartOr">
          <a:avLst/>
        </a:prstGeom>
        <a:gradFill flip="none" rotWithShape="1">
          <a:gsLst>
            <a:gs pos="42000">
              <a:schemeClr val="bg1">
                <a:lumMod val="95000"/>
              </a:schemeClr>
            </a:gs>
            <a:gs pos="5000">
              <a:schemeClr val="lt1">
                <a:shade val="67500"/>
                <a:satMod val="115000"/>
              </a:schemeClr>
            </a:gs>
            <a:gs pos="100000">
              <a:schemeClr val="lt1">
                <a:shade val="100000"/>
                <a:satMod val="115000"/>
              </a:schemeClr>
            </a:gs>
          </a:gsLst>
          <a:path path="circle">
            <a:fillToRect l="50000" t="50000" r="50000" b="50000"/>
          </a:path>
          <a:tileRect/>
        </a:gradFill>
        <a:ln>
          <a:solidFill>
            <a:schemeClr val="accent5">
              <a:lumMod val="40000"/>
              <a:lumOff val="60000"/>
            </a:schemeClr>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s-CO" sz="1100" b="0" cap="none" spc="0">
            <a:ln w="0"/>
            <a:solidFill>
              <a:schemeClr val="tx1"/>
            </a:solidFill>
            <a:effectLst>
              <a:outerShdw blurRad="38100" dist="19050" dir="2700000" algn="tl" rotWithShape="0">
                <a:schemeClr val="dk1">
                  <a:alpha val="40000"/>
                </a:schemeClr>
              </a:outerShdw>
            </a:effectLst>
          </a:endParaRPr>
        </a:p>
      </xdr:txBody>
    </xdr:sp>
    <xdr:clientData/>
  </xdr:twoCellAnchor>
  <mc:AlternateContent xmlns:mc="http://schemas.openxmlformats.org/markup-compatibility/2006">
    <mc:Choice xmlns:a14="http://schemas.microsoft.com/office/drawing/2010/main" Requires="a14">
      <xdr:twoCellAnchor editAs="oneCell">
        <xdr:from>
          <xdr:col>2</xdr:col>
          <xdr:colOff>9525</xdr:colOff>
          <xdr:row>18</xdr:row>
          <xdr:rowOff>9525</xdr:rowOff>
        </xdr:from>
        <xdr:to>
          <xdr:col>6</xdr:col>
          <xdr:colOff>28575</xdr:colOff>
          <xdr:row>19</xdr:row>
          <xdr:rowOff>180975</xdr:rowOff>
        </xdr:to>
        <xdr:sp macro="" textlink="">
          <xdr:nvSpPr>
            <xdr:cNvPr id="2054" name="ComboBox1" hidden="1">
              <a:extLst>
                <a:ext uri="{63B3BB69-23CF-44E3-9099-C40C66FF867C}">
                  <a14:compatExt spid="_x0000_s205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2</xdr:col>
      <xdr:colOff>739587</xdr:colOff>
      <xdr:row>0</xdr:row>
      <xdr:rowOff>123265</xdr:rowOff>
    </xdr:from>
    <xdr:to>
      <xdr:col>7</xdr:col>
      <xdr:colOff>300024</xdr:colOff>
      <xdr:row>1</xdr:row>
      <xdr:rowOff>1102159</xdr:rowOff>
    </xdr:to>
    <xdr:grpSp>
      <xdr:nvGrpSpPr>
        <xdr:cNvPr id="4" name="Grupo 3"/>
        <xdr:cNvGrpSpPr/>
      </xdr:nvGrpSpPr>
      <xdr:grpSpPr>
        <a:xfrm>
          <a:off x="1232646" y="123265"/>
          <a:ext cx="5129760"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1165411</xdr:colOff>
      <xdr:row>0</xdr:row>
      <xdr:rowOff>224118</xdr:rowOff>
    </xdr:from>
    <xdr:to>
      <xdr:col>7</xdr:col>
      <xdr:colOff>394834</xdr:colOff>
      <xdr:row>2</xdr:row>
      <xdr:rowOff>484312</xdr:rowOff>
    </xdr:to>
    <xdr:grpSp>
      <xdr:nvGrpSpPr>
        <xdr:cNvPr id="7" name="Grupo 6"/>
        <xdr:cNvGrpSpPr/>
      </xdr:nvGrpSpPr>
      <xdr:grpSpPr>
        <a:xfrm>
          <a:off x="1680882" y="224118"/>
          <a:ext cx="4854776" cy="1291135"/>
          <a:chOff x="1680882" y="224118"/>
          <a:chExt cx="5146128" cy="1291135"/>
        </a:xfrm>
      </xdr:grpSpPr>
      <xdr:pic>
        <xdr:nvPicPr>
          <xdr:cNvPr id="4"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5"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CuadroTexto 5"/>
          <xdr:cNvSpPr txBox="1"/>
        </xdr:nvSpPr>
        <xdr:spPr>
          <a:xfrm>
            <a:off x="2532530" y="1030941"/>
            <a:ext cx="3543355"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400" b="1"/>
              <a:t>UNIVERSIDAD MILITAR NUEVA GRANADA</a:t>
            </a:r>
          </a:p>
        </xdr:txBody>
      </xdr:sp>
    </xdr:grpSp>
    <xdr:clientData/>
  </xdr:twoCellAnchor>
  <xdr:twoCellAnchor>
    <xdr:from>
      <xdr:col>3</xdr:col>
      <xdr:colOff>67236</xdr:colOff>
      <xdr:row>53</xdr:row>
      <xdr:rowOff>134472</xdr:rowOff>
    </xdr:from>
    <xdr:to>
      <xdr:col>7</xdr:col>
      <xdr:colOff>674982</xdr:colOff>
      <xdr:row>54</xdr:row>
      <xdr:rowOff>44824</xdr:rowOff>
    </xdr:to>
    <xdr:grpSp>
      <xdr:nvGrpSpPr>
        <xdr:cNvPr id="8" name="Grupo 7"/>
        <xdr:cNvGrpSpPr/>
      </xdr:nvGrpSpPr>
      <xdr:grpSpPr>
        <a:xfrm>
          <a:off x="1961030" y="13940119"/>
          <a:ext cx="4854776" cy="1165411"/>
          <a:chOff x="1680882" y="224118"/>
          <a:chExt cx="5146128" cy="1291135"/>
        </a:xfrm>
      </xdr:grpSpPr>
      <xdr:pic>
        <xdr:nvPicPr>
          <xdr:cNvPr id="9"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0"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1" name="CuadroTexto 10"/>
          <xdr:cNvSpPr txBox="1"/>
        </xdr:nvSpPr>
        <xdr:spPr>
          <a:xfrm>
            <a:off x="2532530" y="1030941"/>
            <a:ext cx="3543355"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400" b="1"/>
              <a:t>UNIVERSIDAD MILITAR NUEVA GRANADA</a:t>
            </a:r>
          </a:p>
        </xdr:txBody>
      </xdr:sp>
    </xdr:grpSp>
    <xdr:clientData/>
  </xdr:twoCellAnchor>
  <xdr:oneCellAnchor>
    <xdr:from>
      <xdr:col>0</xdr:col>
      <xdr:colOff>249331</xdr:colOff>
      <xdr:row>79</xdr:row>
      <xdr:rowOff>19050</xdr:rowOff>
    </xdr:from>
    <xdr:ext cx="3130344" cy="233205"/>
    <xdr:sp macro="" textlink="">
      <xdr:nvSpPr>
        <xdr:cNvPr id="2" name="CuadroTexto 1"/>
        <xdr:cNvSpPr txBox="1"/>
      </xdr:nvSpPr>
      <xdr:spPr>
        <a:xfrm>
          <a:off x="249331" y="20459700"/>
          <a:ext cx="3130344"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a:t>* Verificar</a:t>
          </a:r>
          <a:r>
            <a:rPr lang="es-CO" sz="900" baseline="0"/>
            <a:t> los totales correspondan en los cuadros No. 16 y 15</a:t>
          </a:r>
          <a:r>
            <a:rPr lang="es-CO" sz="900"/>
            <a:t> </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3</xdr:col>
      <xdr:colOff>773206</xdr:colOff>
      <xdr:row>0</xdr:row>
      <xdr:rowOff>112059</xdr:rowOff>
    </xdr:from>
    <xdr:to>
      <xdr:col>8</xdr:col>
      <xdr:colOff>277613</xdr:colOff>
      <xdr:row>1</xdr:row>
      <xdr:rowOff>1090953</xdr:rowOff>
    </xdr:to>
    <xdr:grpSp>
      <xdr:nvGrpSpPr>
        <xdr:cNvPr id="4" name="Grupo 3"/>
        <xdr:cNvGrpSpPr/>
      </xdr:nvGrpSpPr>
      <xdr:grpSpPr>
        <a:xfrm>
          <a:off x="1658471" y="112059"/>
          <a:ext cx="5129760"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683558</xdr:colOff>
      <xdr:row>0</xdr:row>
      <xdr:rowOff>268941</xdr:rowOff>
    </xdr:from>
    <xdr:to>
      <xdr:col>8</xdr:col>
      <xdr:colOff>187966</xdr:colOff>
      <xdr:row>1</xdr:row>
      <xdr:rowOff>1247835</xdr:rowOff>
    </xdr:to>
    <xdr:grpSp>
      <xdr:nvGrpSpPr>
        <xdr:cNvPr id="2" name="Grupo 1"/>
        <xdr:cNvGrpSpPr/>
      </xdr:nvGrpSpPr>
      <xdr:grpSpPr>
        <a:xfrm>
          <a:off x="1513594" y="268941"/>
          <a:ext cx="5124158" cy="1305465"/>
          <a:chOff x="1680882" y="224118"/>
          <a:chExt cx="5146128" cy="1291135"/>
        </a:xfrm>
      </xdr:grpSpPr>
      <xdr:pic>
        <xdr:nvPicPr>
          <xdr:cNvPr id="3"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CuadroTexto 4"/>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oneCellAnchor>
    <xdr:from>
      <xdr:col>10</xdr:col>
      <xdr:colOff>116702</xdr:colOff>
      <xdr:row>0</xdr:row>
      <xdr:rowOff>90447</xdr:rowOff>
    </xdr:from>
    <xdr:ext cx="5353369" cy="1344599"/>
    <xdr:sp macro="" textlink="">
      <xdr:nvSpPr>
        <xdr:cNvPr id="6" name="CuadroTexto 5"/>
        <xdr:cNvSpPr txBox="1"/>
      </xdr:nvSpPr>
      <xdr:spPr>
        <a:xfrm>
          <a:off x="8648381" y="90447"/>
          <a:ext cx="5353369" cy="1344599"/>
        </a:xfrm>
        <a:prstGeom prst="rect">
          <a:avLst/>
        </a:prstGeom>
        <a:solidFill>
          <a:schemeClr val="accent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600"/>
            <a:t>Nota.</a:t>
          </a:r>
          <a:r>
            <a:rPr lang="es-CO" sz="1600" baseline="0"/>
            <a:t> Para facilidad del investigador relacione:  1. Nombre completo del Grupo segun Grup Lac 2.EL Linck de GrupLac tal como aparece en la barra de direcciones. 3. Nombre completo del lider de Grupo. y los datos que se consirede que el par necesitaria saber y no se encuentran en el Grup LAC </a:t>
          </a:r>
          <a:endParaRPr lang="es-CO" sz="1600"/>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683558</xdr:colOff>
      <xdr:row>0</xdr:row>
      <xdr:rowOff>268941</xdr:rowOff>
    </xdr:from>
    <xdr:to>
      <xdr:col>8</xdr:col>
      <xdr:colOff>187966</xdr:colOff>
      <xdr:row>1</xdr:row>
      <xdr:rowOff>1247835</xdr:rowOff>
    </xdr:to>
    <xdr:grpSp>
      <xdr:nvGrpSpPr>
        <xdr:cNvPr id="4" name="Grupo 3"/>
        <xdr:cNvGrpSpPr/>
      </xdr:nvGrpSpPr>
      <xdr:grpSpPr>
        <a:xfrm>
          <a:off x="1490382" y="268941"/>
          <a:ext cx="5129760"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493059</xdr:colOff>
      <xdr:row>0</xdr:row>
      <xdr:rowOff>224118</xdr:rowOff>
    </xdr:from>
    <xdr:to>
      <xdr:col>8</xdr:col>
      <xdr:colOff>187966</xdr:colOff>
      <xdr:row>1</xdr:row>
      <xdr:rowOff>1203012</xdr:rowOff>
    </xdr:to>
    <xdr:grpSp>
      <xdr:nvGrpSpPr>
        <xdr:cNvPr id="4" name="Grupo 3"/>
        <xdr:cNvGrpSpPr/>
      </xdr:nvGrpSpPr>
      <xdr:grpSpPr>
        <a:xfrm>
          <a:off x="2112309" y="224118"/>
          <a:ext cx="5137764" cy="13054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oneCellAnchor>
    <xdr:from>
      <xdr:col>11</xdr:col>
      <xdr:colOff>312965</xdr:colOff>
      <xdr:row>1</xdr:row>
      <xdr:rowOff>449036</xdr:rowOff>
    </xdr:from>
    <xdr:ext cx="2748642" cy="843821"/>
    <xdr:sp macro="" textlink="">
      <xdr:nvSpPr>
        <xdr:cNvPr id="8" name="CuadroTexto 7"/>
        <xdr:cNvSpPr txBox="1"/>
      </xdr:nvSpPr>
      <xdr:spPr>
        <a:xfrm>
          <a:off x="10042072" y="775607"/>
          <a:ext cx="2748642" cy="843821"/>
        </a:xfrm>
        <a:prstGeom prst="rect">
          <a:avLst/>
        </a:prstGeom>
        <a:solidFill>
          <a:schemeClr val="accent3">
            <a:lumMod val="60000"/>
            <a:lumOff val="4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200"/>
            <a:t>Ocultar</a:t>
          </a:r>
          <a:r>
            <a:rPr lang="es-CO" sz="1200" baseline="0"/>
            <a:t> esta hoja de calculo si no tiene utilidad, para que no aparezca una ve sea leida para que no aparezca en impresiones o documento PDF.</a:t>
          </a:r>
          <a:endParaRPr lang="es-CO" sz="1200"/>
        </a:p>
      </xdr:txBody>
    </xdr:sp>
    <xdr:clientData/>
  </xdr:oneCellAnchor>
</xdr:wsDr>
</file>

<file path=xl/drawings/drawing16.xml><?xml version="1.0" encoding="utf-8"?>
<xdr:wsDr xmlns:xdr="http://schemas.openxmlformats.org/drawingml/2006/spreadsheetDrawing" xmlns:a="http://schemas.openxmlformats.org/drawingml/2006/main">
  <xdr:twoCellAnchor>
    <xdr:from>
      <xdr:col>3</xdr:col>
      <xdr:colOff>1019175</xdr:colOff>
      <xdr:row>0</xdr:row>
      <xdr:rowOff>285750</xdr:rowOff>
    </xdr:from>
    <xdr:to>
      <xdr:col>8</xdr:col>
      <xdr:colOff>364578</xdr:colOff>
      <xdr:row>1</xdr:row>
      <xdr:rowOff>1253035</xdr:rowOff>
    </xdr:to>
    <xdr:grpSp>
      <xdr:nvGrpSpPr>
        <xdr:cNvPr id="4" name="Grupo 3"/>
        <xdr:cNvGrpSpPr/>
      </xdr:nvGrpSpPr>
      <xdr:grpSpPr>
        <a:xfrm>
          <a:off x="1545851" y="285750"/>
          <a:ext cx="5150051" cy="1292256"/>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oneCellAnchor>
    <xdr:from>
      <xdr:col>10</xdr:col>
      <xdr:colOff>212911</xdr:colOff>
      <xdr:row>0</xdr:row>
      <xdr:rowOff>145676</xdr:rowOff>
    </xdr:from>
    <xdr:ext cx="2297206" cy="781240"/>
    <xdr:sp macro="" textlink="">
      <xdr:nvSpPr>
        <xdr:cNvPr id="2" name="CuadroTexto 1"/>
        <xdr:cNvSpPr txBox="1"/>
      </xdr:nvSpPr>
      <xdr:spPr>
        <a:xfrm>
          <a:off x="8628529" y="145676"/>
          <a:ext cx="2297206" cy="781240"/>
        </a:xfrm>
        <a:prstGeom prst="rect">
          <a:avLst/>
        </a:prstGeom>
        <a:solidFill>
          <a:schemeClr val="accent3">
            <a:lumMod val="60000"/>
            <a:lumOff val="4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100"/>
            <a:t>Ocultar</a:t>
          </a:r>
          <a:r>
            <a:rPr lang="es-CO" sz="1100" baseline="0"/>
            <a:t> esta hoja de calculo para que no aparezca una ve sea leida para que no aparezca en impresiones o documento PDF.</a:t>
          </a:r>
          <a:endParaRPr lang="es-CO"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xdr:col>
      <xdr:colOff>656166</xdr:colOff>
      <xdr:row>0</xdr:row>
      <xdr:rowOff>222250</xdr:rowOff>
    </xdr:from>
    <xdr:to>
      <xdr:col>7</xdr:col>
      <xdr:colOff>193784</xdr:colOff>
      <xdr:row>1</xdr:row>
      <xdr:rowOff>1187273</xdr:rowOff>
    </xdr:to>
    <xdr:grpSp>
      <xdr:nvGrpSpPr>
        <xdr:cNvPr id="4" name="Grupo 3"/>
        <xdr:cNvGrpSpPr/>
      </xdr:nvGrpSpPr>
      <xdr:grpSpPr>
        <a:xfrm>
          <a:off x="1171637" y="222250"/>
          <a:ext cx="5162971" cy="1289994"/>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695739</xdr:colOff>
      <xdr:row>0</xdr:row>
      <xdr:rowOff>306456</xdr:rowOff>
    </xdr:from>
    <xdr:to>
      <xdr:col>7</xdr:col>
      <xdr:colOff>226915</xdr:colOff>
      <xdr:row>1</xdr:row>
      <xdr:rowOff>1276540</xdr:rowOff>
    </xdr:to>
    <xdr:grpSp>
      <xdr:nvGrpSpPr>
        <xdr:cNvPr id="4" name="Grupo 3"/>
        <xdr:cNvGrpSpPr/>
      </xdr:nvGrpSpPr>
      <xdr:grpSpPr>
        <a:xfrm>
          <a:off x="1054327" y="306456"/>
          <a:ext cx="5156529" cy="129505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811696</xdr:colOff>
      <xdr:row>0</xdr:row>
      <xdr:rowOff>165652</xdr:rowOff>
    </xdr:from>
    <xdr:to>
      <xdr:col>7</xdr:col>
      <xdr:colOff>342872</xdr:colOff>
      <xdr:row>1</xdr:row>
      <xdr:rowOff>1135736</xdr:rowOff>
    </xdr:to>
    <xdr:grpSp>
      <xdr:nvGrpSpPr>
        <xdr:cNvPr id="4" name="Grupo 3"/>
        <xdr:cNvGrpSpPr/>
      </xdr:nvGrpSpPr>
      <xdr:grpSpPr>
        <a:xfrm>
          <a:off x="1383196" y="165652"/>
          <a:ext cx="5150926" cy="1291553"/>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733501</xdr:colOff>
      <xdr:row>0</xdr:row>
      <xdr:rowOff>153865</xdr:rowOff>
    </xdr:from>
    <xdr:to>
      <xdr:col>7</xdr:col>
      <xdr:colOff>254094</xdr:colOff>
      <xdr:row>1</xdr:row>
      <xdr:rowOff>1129647</xdr:rowOff>
    </xdr:to>
    <xdr:grpSp>
      <xdr:nvGrpSpPr>
        <xdr:cNvPr id="4" name="Grupo 3"/>
        <xdr:cNvGrpSpPr/>
      </xdr:nvGrpSpPr>
      <xdr:grpSpPr>
        <a:xfrm>
          <a:off x="1262668" y="153865"/>
          <a:ext cx="5129759"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857249</xdr:colOff>
      <xdr:row>0</xdr:row>
      <xdr:rowOff>285750</xdr:rowOff>
    </xdr:from>
    <xdr:to>
      <xdr:col>7</xdr:col>
      <xdr:colOff>377842</xdr:colOff>
      <xdr:row>1</xdr:row>
      <xdr:rowOff>1261532</xdr:rowOff>
    </xdr:to>
    <xdr:grpSp>
      <xdr:nvGrpSpPr>
        <xdr:cNvPr id="4" name="Grupo 3"/>
        <xdr:cNvGrpSpPr/>
      </xdr:nvGrpSpPr>
      <xdr:grpSpPr>
        <a:xfrm>
          <a:off x="1386416" y="285750"/>
          <a:ext cx="5129759"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857249</xdr:colOff>
      <xdr:row>0</xdr:row>
      <xdr:rowOff>285750</xdr:rowOff>
    </xdr:from>
    <xdr:to>
      <xdr:col>7</xdr:col>
      <xdr:colOff>377842</xdr:colOff>
      <xdr:row>1</xdr:row>
      <xdr:rowOff>1261532</xdr:rowOff>
    </xdr:to>
    <xdr:grpSp>
      <xdr:nvGrpSpPr>
        <xdr:cNvPr id="2" name="Grupo 1"/>
        <xdr:cNvGrpSpPr/>
      </xdr:nvGrpSpPr>
      <xdr:grpSpPr>
        <a:xfrm>
          <a:off x="1386416" y="285750"/>
          <a:ext cx="5711843" cy="1303865"/>
          <a:chOff x="1680882" y="224118"/>
          <a:chExt cx="5146128" cy="1291135"/>
        </a:xfrm>
      </xdr:grpSpPr>
      <xdr:pic>
        <xdr:nvPicPr>
          <xdr:cNvPr id="3"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CuadroTexto 4"/>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727364</xdr:colOff>
      <xdr:row>0</xdr:row>
      <xdr:rowOff>138545</xdr:rowOff>
    </xdr:from>
    <xdr:to>
      <xdr:col>7</xdr:col>
      <xdr:colOff>81511</xdr:colOff>
      <xdr:row>1</xdr:row>
      <xdr:rowOff>1122024</xdr:rowOff>
    </xdr:to>
    <xdr:grpSp>
      <xdr:nvGrpSpPr>
        <xdr:cNvPr id="4" name="Grupo 3"/>
        <xdr:cNvGrpSpPr/>
      </xdr:nvGrpSpPr>
      <xdr:grpSpPr>
        <a:xfrm>
          <a:off x="1242835" y="138545"/>
          <a:ext cx="5125176" cy="1308450"/>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537882</xdr:colOff>
      <xdr:row>0</xdr:row>
      <xdr:rowOff>156882</xdr:rowOff>
    </xdr:from>
    <xdr:to>
      <xdr:col>7</xdr:col>
      <xdr:colOff>512936</xdr:colOff>
      <xdr:row>1</xdr:row>
      <xdr:rowOff>1135776</xdr:rowOff>
    </xdr:to>
    <xdr:grpSp>
      <xdr:nvGrpSpPr>
        <xdr:cNvPr id="4" name="Grupo 3"/>
        <xdr:cNvGrpSpPr/>
      </xdr:nvGrpSpPr>
      <xdr:grpSpPr>
        <a:xfrm>
          <a:off x="1669676" y="156882"/>
          <a:ext cx="5129760"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cienti.colciencias.gov.co:8085/gruplac/jsp/visualiza/visualizagr.jsp?nro=00000000019309" TargetMode="External"/><Relationship Id="rId1" Type="http://schemas.openxmlformats.org/officeDocument/2006/relationships/hyperlink" Target="http://scienti.colciencias.gov.co:8085/gruplac/jsp/visualiza/visualizagr.jsp?nro=00000000011763"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tabColor rgb="FFFFC000"/>
  </sheetPr>
  <dimension ref="A1:BU308"/>
  <sheetViews>
    <sheetView showGridLines="0" topLeftCell="J1" zoomScaleNormal="100" workbookViewId="0">
      <pane ySplit="1" topLeftCell="A2" activePane="bottomLeft" state="frozen"/>
      <selection pane="bottomLeft" activeCell="P12" sqref="P12"/>
    </sheetView>
  </sheetViews>
  <sheetFormatPr baseColWidth="10" defaultColWidth="11.42578125" defaultRowHeight="15" x14ac:dyDescent="0.25"/>
  <cols>
    <col min="1" max="1" width="4.42578125" style="119" customWidth="1"/>
    <col min="2" max="2" width="4" style="3" bestFit="1" customWidth="1"/>
    <col min="3" max="3" width="13.7109375" style="3" customWidth="1"/>
    <col min="4" max="4" width="8" style="3" customWidth="1"/>
    <col min="5" max="5" width="13.28515625" style="3" customWidth="1"/>
    <col min="6" max="6" width="18.28515625" style="3" customWidth="1"/>
    <col min="7" max="7" width="16.28515625" style="3" customWidth="1"/>
    <col min="8" max="8" width="19.5703125" style="3" bestFit="1" customWidth="1"/>
    <col min="9" max="9" width="19.5703125" style="3" customWidth="1"/>
    <col min="10" max="10" width="6.28515625" style="3" bestFit="1" customWidth="1"/>
    <col min="11" max="11" width="46.42578125" style="3" bestFit="1" customWidth="1"/>
    <col min="12" max="14" width="5.85546875" style="3" customWidth="1"/>
    <col min="15" max="15" width="20.140625" style="3" customWidth="1"/>
    <col min="16" max="16" width="16.28515625" style="3" bestFit="1" customWidth="1"/>
    <col min="17" max="17" width="25.5703125" style="126" customWidth="1"/>
    <col min="18" max="18" width="14.7109375" style="3" customWidth="1"/>
    <col min="19" max="19" width="24.28515625" style="3" bestFit="1" customWidth="1"/>
    <col min="20" max="20" width="14.28515625" style="3" bestFit="1" customWidth="1"/>
    <col min="21" max="21" width="25" style="3" bestFit="1" customWidth="1"/>
    <col min="22" max="22" width="22.140625" style="3" customWidth="1"/>
    <col min="23" max="23" width="18.42578125" style="3" customWidth="1"/>
    <col min="24" max="25" width="14.28515625" style="3" bestFit="1" customWidth="1"/>
    <col min="26" max="27" width="11.42578125" style="3"/>
    <col min="28" max="36" width="0" style="3" hidden="1" customWidth="1"/>
    <col min="37" max="37" width="11.42578125" style="3"/>
    <col min="38" max="38" width="3.85546875" bestFit="1" customWidth="1"/>
    <col min="39" max="39" width="2.5703125" bestFit="1" customWidth="1"/>
    <col min="40" max="40" width="5" bestFit="1" customWidth="1"/>
    <col min="41" max="41" width="5.28515625" bestFit="1" customWidth="1"/>
    <col min="42" max="42" width="63.28515625" customWidth="1"/>
    <col min="43" max="43" width="23" customWidth="1"/>
    <col min="44" max="44" width="11.42578125" style="68"/>
    <col min="45" max="45" width="17" customWidth="1"/>
    <col min="46" max="46" width="14.28515625" customWidth="1"/>
    <col min="47" max="47" width="13.42578125" bestFit="1" customWidth="1"/>
    <col min="48" max="48" width="8.5703125" style="68" bestFit="1" customWidth="1"/>
    <col min="49" max="49" width="8.85546875" style="68" bestFit="1" customWidth="1"/>
    <col min="50" max="50" width="11.7109375" customWidth="1"/>
    <col min="51" max="52" width="2.28515625" customWidth="1"/>
    <col min="53" max="53" width="14.28515625" bestFit="1" customWidth="1"/>
    <col min="54" max="54" width="67" customWidth="1"/>
    <col min="55" max="55" width="3.85546875" bestFit="1" customWidth="1"/>
    <col min="56" max="56" width="6" customWidth="1"/>
    <col min="62" max="70" width="11.42578125" style="3"/>
    <col min="71" max="74" width="0" style="3" hidden="1" customWidth="1"/>
    <col min="75" max="16384" width="11.42578125" style="3"/>
  </cols>
  <sheetData>
    <row r="1" spans="1:73" ht="41.25" customHeight="1" thickBot="1" x14ac:dyDescent="0.3">
      <c r="A1" s="108"/>
      <c r="B1" s="109" t="s">
        <v>0</v>
      </c>
      <c r="C1" s="110" t="s">
        <v>1</v>
      </c>
      <c r="D1" s="110" t="s">
        <v>2</v>
      </c>
      <c r="E1" s="110" t="s">
        <v>3</v>
      </c>
      <c r="F1" s="111" t="s">
        <v>4</v>
      </c>
      <c r="G1" s="109" t="s">
        <v>364</v>
      </c>
      <c r="H1" s="109" t="s">
        <v>5</v>
      </c>
      <c r="I1" s="109" t="s">
        <v>397</v>
      </c>
      <c r="J1" s="109" t="s">
        <v>367</v>
      </c>
      <c r="K1" s="109" t="s">
        <v>6</v>
      </c>
      <c r="L1" s="109" t="s">
        <v>7</v>
      </c>
      <c r="M1" s="109" t="s">
        <v>356</v>
      </c>
      <c r="N1" s="109" t="s">
        <v>357</v>
      </c>
      <c r="O1" s="109" t="s">
        <v>309</v>
      </c>
      <c r="P1" s="109" t="s">
        <v>407</v>
      </c>
      <c r="Q1" s="109" t="s">
        <v>8</v>
      </c>
      <c r="R1" s="109" t="s">
        <v>9</v>
      </c>
      <c r="S1" s="109" t="s">
        <v>10</v>
      </c>
      <c r="T1" s="109" t="s">
        <v>11</v>
      </c>
      <c r="U1" s="109" t="s">
        <v>12</v>
      </c>
      <c r="V1" s="109" t="s">
        <v>13</v>
      </c>
      <c r="W1" s="109" t="s">
        <v>14</v>
      </c>
      <c r="X1" s="109" t="s">
        <v>898</v>
      </c>
      <c r="Y1" s="109" t="s">
        <v>899</v>
      </c>
      <c r="AQ1" t="s">
        <v>647</v>
      </c>
    </row>
    <row r="2" spans="1:73" ht="14.1" customHeight="1" thickTop="1" x14ac:dyDescent="0.25">
      <c r="A2" s="112"/>
      <c r="B2" s="113">
        <v>1</v>
      </c>
      <c r="C2" s="114">
        <v>20</v>
      </c>
      <c r="D2" s="114">
        <v>39.9</v>
      </c>
      <c r="E2" s="114">
        <v>25</v>
      </c>
      <c r="F2" s="113" t="s">
        <v>15</v>
      </c>
      <c r="G2" s="114" t="s">
        <v>452</v>
      </c>
      <c r="H2" s="114" t="s">
        <v>395</v>
      </c>
      <c r="I2" s="114" t="s">
        <v>398</v>
      </c>
      <c r="J2" s="114" t="s">
        <v>258</v>
      </c>
      <c r="K2" s="114" t="s">
        <v>388</v>
      </c>
      <c r="L2" s="114" t="s">
        <v>16</v>
      </c>
      <c r="M2" s="114">
        <v>5</v>
      </c>
      <c r="N2" s="114">
        <v>1</v>
      </c>
      <c r="O2" s="114" t="s">
        <v>20</v>
      </c>
      <c r="P2" s="114" t="s">
        <v>1119</v>
      </c>
      <c r="Q2" s="114" t="s">
        <v>17</v>
      </c>
      <c r="R2" s="114" t="s">
        <v>18</v>
      </c>
      <c r="S2" s="114" t="s">
        <v>400</v>
      </c>
      <c r="T2" s="117" t="s">
        <v>27</v>
      </c>
      <c r="U2" s="86" t="s">
        <v>576</v>
      </c>
      <c r="V2" s="115" t="s">
        <v>19</v>
      </c>
      <c r="W2" s="114" t="s">
        <v>20</v>
      </c>
      <c r="X2" s="114" t="s">
        <v>820</v>
      </c>
      <c r="Y2" s="114">
        <v>11</v>
      </c>
      <c r="AT2" t="s">
        <v>648</v>
      </c>
      <c r="AV2" s="68">
        <f>MIN(BD3:BD296)</f>
        <v>4</v>
      </c>
      <c r="AW2" s="68">
        <f>MAX(BD3:BD296)</f>
        <v>296</v>
      </c>
      <c r="BT2" s="3" t="s">
        <v>479</v>
      </c>
      <c r="BU2" t="s">
        <v>478</v>
      </c>
    </row>
    <row r="3" spans="1:73" x14ac:dyDescent="0.25">
      <c r="A3" s="112"/>
      <c r="B3" s="116">
        <v>2</v>
      </c>
      <c r="C3" s="117">
        <v>40</v>
      </c>
      <c r="D3" s="117">
        <v>59.9</v>
      </c>
      <c r="E3" s="117">
        <v>50</v>
      </c>
      <c r="F3" s="116" t="s">
        <v>21</v>
      </c>
      <c r="G3" s="117" t="s">
        <v>22</v>
      </c>
      <c r="H3" s="117" t="s">
        <v>396</v>
      </c>
      <c r="I3" s="117" t="s">
        <v>399</v>
      </c>
      <c r="J3" s="117" t="s">
        <v>261</v>
      </c>
      <c r="K3" s="117" t="s">
        <v>390</v>
      </c>
      <c r="L3" s="117" t="s">
        <v>33</v>
      </c>
      <c r="M3" s="117">
        <v>12</v>
      </c>
      <c r="N3" s="117">
        <v>60</v>
      </c>
      <c r="O3" s="117" t="s">
        <v>418</v>
      </c>
      <c r="P3" s="117" t="s">
        <v>1120</v>
      </c>
      <c r="Q3" s="117" t="s">
        <v>24</v>
      </c>
      <c r="R3" s="117" t="s">
        <v>25</v>
      </c>
      <c r="S3" s="117" t="s">
        <v>26</v>
      </c>
      <c r="T3" s="117" t="s">
        <v>36</v>
      </c>
      <c r="U3" s="86" t="s">
        <v>578</v>
      </c>
      <c r="V3" s="118" t="s">
        <v>29</v>
      </c>
      <c r="W3" s="117" t="s">
        <v>30</v>
      </c>
      <c r="X3" s="117" t="s">
        <v>821</v>
      </c>
      <c r="Y3" s="117">
        <v>21</v>
      </c>
      <c r="AN3" s="285" t="s">
        <v>649</v>
      </c>
      <c r="AO3" s="285" t="s">
        <v>650</v>
      </c>
      <c r="AP3" s="285" t="s">
        <v>651</v>
      </c>
      <c r="AQ3" s="285" t="s">
        <v>652</v>
      </c>
      <c r="AR3" s="285" t="s">
        <v>653</v>
      </c>
      <c r="AS3" s="285" t="s">
        <v>654</v>
      </c>
      <c r="AT3" s="285" t="s">
        <v>655</v>
      </c>
      <c r="AU3" s="334" t="s">
        <v>656</v>
      </c>
      <c r="AV3" s="285" t="s">
        <v>509</v>
      </c>
      <c r="AW3" s="285" t="s">
        <v>337</v>
      </c>
      <c r="AX3" s="285" t="s">
        <v>650</v>
      </c>
      <c r="BA3" s="343" t="s">
        <v>652</v>
      </c>
      <c r="BB3" s="286" t="s">
        <v>1006</v>
      </c>
      <c r="BC3" s="286" t="s">
        <v>657</v>
      </c>
      <c r="BD3" s="286" t="s">
        <v>658</v>
      </c>
      <c r="BE3" s="286" t="s">
        <v>1007</v>
      </c>
      <c r="BG3" t="s">
        <v>808</v>
      </c>
    </row>
    <row r="4" spans="1:73" x14ac:dyDescent="0.25">
      <c r="A4" s="112"/>
      <c r="B4" s="116">
        <v>3</v>
      </c>
      <c r="C4" s="117">
        <v>60</v>
      </c>
      <c r="D4" s="117">
        <v>79.900000000000006</v>
      </c>
      <c r="E4" s="117">
        <v>75</v>
      </c>
      <c r="F4" s="116" t="s">
        <v>31</v>
      </c>
      <c r="G4" s="117" t="s">
        <v>32</v>
      </c>
      <c r="H4" s="117" t="s">
        <v>447</v>
      </c>
      <c r="I4" s="117"/>
      <c r="J4" s="117"/>
      <c r="K4" s="117" t="s">
        <v>389</v>
      </c>
      <c r="L4" s="117" t="s">
        <v>23</v>
      </c>
      <c r="M4" s="117">
        <v>24</v>
      </c>
      <c r="N4" s="117">
        <v>200</v>
      </c>
      <c r="O4" s="117" t="s">
        <v>419</v>
      </c>
      <c r="P4" s="117"/>
      <c r="Q4" s="117" t="s">
        <v>34</v>
      </c>
      <c r="R4" s="117" t="s">
        <v>35</v>
      </c>
      <c r="S4" s="117" t="s">
        <v>401</v>
      </c>
      <c r="T4" s="117" t="s">
        <v>45</v>
      </c>
      <c r="U4" s="86" t="s">
        <v>577</v>
      </c>
      <c r="V4" s="118" t="s">
        <v>517</v>
      </c>
      <c r="W4" s="117" t="s">
        <v>38</v>
      </c>
      <c r="X4" s="117" t="s">
        <v>822</v>
      </c>
      <c r="Y4" s="117">
        <v>31</v>
      </c>
      <c r="AL4">
        <v>1</v>
      </c>
      <c r="AM4">
        <f t="shared" ref="AM4:AM35" si="0">COUNTIF($AN$4:$AN$73,AL4)</f>
        <v>1</v>
      </c>
      <c r="AN4" s="287">
        <v>1</v>
      </c>
      <c r="AO4" s="287" t="s">
        <v>659</v>
      </c>
      <c r="AP4" s="287" t="s">
        <v>57</v>
      </c>
      <c r="AQ4" s="287" t="s">
        <v>89</v>
      </c>
      <c r="AR4" s="288" t="s">
        <v>32</v>
      </c>
      <c r="AS4" s="287" t="s">
        <v>919</v>
      </c>
      <c r="AT4" s="287" t="str">
        <f>$AT$2&amp;AV4&amp;":"&amp;$AT$2&amp;AW4</f>
        <v>BB10:BB11</v>
      </c>
      <c r="AU4" s="288">
        <f>ROW()</f>
        <v>4</v>
      </c>
      <c r="AV4" s="288">
        <f t="array" ref="AV4">MINA(IF(AQ4=$BA$4:$BA$401,$BD$4:$BD$401))</f>
        <v>10</v>
      </c>
      <c r="AW4" s="288">
        <f t="array" ref="AW4">MAXA(IF(AQ4=$BA$4:$BA$401,$BD$4:$BD$401))</f>
        <v>11</v>
      </c>
      <c r="AX4" s="287" t="str">
        <f>AO4</f>
        <v>CIAS</v>
      </c>
      <c r="BA4" s="344" t="s">
        <v>66</v>
      </c>
      <c r="BB4" s="289" t="s">
        <v>660</v>
      </c>
      <c r="BC4" s="290">
        <f>COUNTIF(BA$4:BA4,BA4)</f>
        <v>1</v>
      </c>
      <c r="BD4" s="290">
        <f>ROW()</f>
        <v>4</v>
      </c>
      <c r="BE4" s="290">
        <f t="shared" ref="BE4:BE67" si="1">COUNTIF($AQ$3:$AQ$83,BA4)</f>
        <v>1</v>
      </c>
      <c r="BG4" t="s">
        <v>121</v>
      </c>
      <c r="BH4">
        <f t="shared" ref="BH4:BH35" si="2">COUNTIF($AQ$4:$AQ$73,BG4)</f>
        <v>1</v>
      </c>
    </row>
    <row r="5" spans="1:73" x14ac:dyDescent="0.25">
      <c r="B5" s="120">
        <v>4</v>
      </c>
      <c r="C5" s="86">
        <v>80</v>
      </c>
      <c r="D5" s="86">
        <v>199.9</v>
      </c>
      <c r="E5" s="86">
        <v>100</v>
      </c>
      <c r="F5" s="120" t="s">
        <v>40</v>
      </c>
      <c r="G5" s="86" t="s">
        <v>41</v>
      </c>
      <c r="H5" s="86"/>
      <c r="I5" s="86"/>
      <c r="J5" s="86"/>
      <c r="K5" s="86"/>
      <c r="L5" s="86"/>
      <c r="M5" s="86"/>
      <c r="N5" s="86"/>
      <c r="O5" s="86" t="s">
        <v>420</v>
      </c>
      <c r="P5" s="86"/>
      <c r="Q5" s="117" t="s">
        <v>44</v>
      </c>
      <c r="R5" s="86"/>
      <c r="S5" s="117" t="s">
        <v>402</v>
      </c>
      <c r="T5" s="117" t="s">
        <v>50</v>
      </c>
      <c r="U5" s="86" t="s">
        <v>28</v>
      </c>
      <c r="V5" s="118" t="s">
        <v>518</v>
      </c>
      <c r="W5" s="117" t="s">
        <v>46</v>
      </c>
      <c r="X5" s="117" t="s">
        <v>823</v>
      </c>
      <c r="Y5" s="117">
        <v>111</v>
      </c>
      <c r="AL5">
        <v>2</v>
      </c>
      <c r="AM5">
        <f t="shared" si="0"/>
        <v>1</v>
      </c>
      <c r="AN5" s="287">
        <v>2</v>
      </c>
      <c r="AO5" s="287" t="s">
        <v>659</v>
      </c>
      <c r="AP5" s="287" t="s">
        <v>62</v>
      </c>
      <c r="AQ5" s="287" t="s">
        <v>99</v>
      </c>
      <c r="AR5" s="288" t="s">
        <v>22</v>
      </c>
      <c r="AS5" s="287" t="s">
        <v>920</v>
      </c>
      <c r="AT5" s="287" t="str">
        <f t="shared" ref="AT5:AT17" si="3">$AT$2&amp;AV5&amp;":"&amp;$AT$2&amp;AW5</f>
        <v>BB12:BB16</v>
      </c>
      <c r="AU5" s="288">
        <f>ROW()</f>
        <v>5</v>
      </c>
      <c r="AV5" s="288">
        <f t="array" ref="AV5">MINA(IF(AQ5=$BA$4:$BA$401,$BD$4:$BD$401))</f>
        <v>12</v>
      </c>
      <c r="AW5" s="288">
        <f t="array" ref="AW5">MAXA(IF(AQ5=$BA$4:$BA$401,$BD$4:$BD$401))</f>
        <v>16</v>
      </c>
      <c r="AX5" s="287" t="str">
        <f t="shared" ref="AX5:AX17" si="4">AO5</f>
        <v>CIAS</v>
      </c>
      <c r="BA5" s="344" t="s">
        <v>66</v>
      </c>
      <c r="BB5" s="289" t="s">
        <v>661</v>
      </c>
      <c r="BC5" s="290">
        <f>COUNTIF(BA$4:BA5,BA5)</f>
        <v>2</v>
      </c>
      <c r="BD5" s="290">
        <f>ROW()</f>
        <v>5</v>
      </c>
      <c r="BE5" s="290">
        <f t="shared" si="1"/>
        <v>1</v>
      </c>
      <c r="BG5" t="s">
        <v>192</v>
      </c>
      <c r="BH5">
        <f t="shared" si="2"/>
        <v>1</v>
      </c>
    </row>
    <row r="6" spans="1:73" x14ac:dyDescent="0.25">
      <c r="B6" s="120">
        <v>5</v>
      </c>
      <c r="C6" s="86">
        <v>200</v>
      </c>
      <c r="D6" s="86">
        <v>1000</v>
      </c>
      <c r="E6" s="86">
        <f>125*2</f>
        <v>250</v>
      </c>
      <c r="F6" s="120" t="s">
        <v>47</v>
      </c>
      <c r="G6" s="86" t="s">
        <v>48</v>
      </c>
      <c r="H6" s="86"/>
      <c r="I6" s="86"/>
      <c r="J6" s="86"/>
      <c r="K6" s="86"/>
      <c r="L6" s="86"/>
      <c r="M6" s="86"/>
      <c r="N6" s="86"/>
      <c r="O6" s="86" t="s">
        <v>51</v>
      </c>
      <c r="P6" s="86"/>
      <c r="Q6" s="117"/>
      <c r="R6" s="86"/>
      <c r="S6" s="117" t="s">
        <v>403</v>
      </c>
      <c r="T6" s="117" t="s">
        <v>55</v>
      </c>
      <c r="U6" s="86" t="s">
        <v>519</v>
      </c>
      <c r="V6" s="118" t="s">
        <v>28</v>
      </c>
      <c r="W6" s="117" t="s">
        <v>51</v>
      </c>
      <c r="X6" s="117" t="s">
        <v>824</v>
      </c>
      <c r="Y6" s="117">
        <v>112</v>
      </c>
      <c r="AL6">
        <v>3</v>
      </c>
      <c r="AM6">
        <f t="shared" si="0"/>
        <v>1</v>
      </c>
      <c r="AN6" s="287">
        <v>3</v>
      </c>
      <c r="AO6" s="287" t="s">
        <v>659</v>
      </c>
      <c r="AP6" s="287" t="s">
        <v>80</v>
      </c>
      <c r="AQ6" s="287" t="s">
        <v>135</v>
      </c>
      <c r="AR6" s="288" t="s">
        <v>32</v>
      </c>
      <c r="AS6" s="287" t="s">
        <v>921</v>
      </c>
      <c r="AT6" s="287" t="str">
        <f t="shared" si="3"/>
        <v>BB38:BB42</v>
      </c>
      <c r="AU6" s="288">
        <f>ROW()</f>
        <v>6</v>
      </c>
      <c r="AV6" s="288">
        <f t="array" ref="AV6">MINA(IF(AQ6=$BA$4:$BA$401,$BD$4:$BD$401))</f>
        <v>38</v>
      </c>
      <c r="AW6" s="288">
        <f t="array" ref="AW6">MAXA(IF(AQ6=$BA$4:$BA$401,$BD$4:$BD$401))</f>
        <v>42</v>
      </c>
      <c r="AX6" s="287" t="str">
        <f t="shared" si="4"/>
        <v>CIAS</v>
      </c>
      <c r="BA6" s="344" t="s">
        <v>82</v>
      </c>
      <c r="BB6" s="289" t="s">
        <v>662</v>
      </c>
      <c r="BC6" s="290">
        <f>COUNTIF(BA$4:BA6,BA6)</f>
        <v>1</v>
      </c>
      <c r="BD6" s="290">
        <f>ROW()</f>
        <v>6</v>
      </c>
      <c r="BE6" s="290">
        <f t="shared" si="1"/>
        <v>1</v>
      </c>
      <c r="BG6" t="s">
        <v>146</v>
      </c>
      <c r="BH6">
        <f t="shared" si="2"/>
        <v>1</v>
      </c>
    </row>
    <row r="7" spans="1:73" ht="15.75" thickBot="1" x14ac:dyDescent="0.3">
      <c r="B7" s="120">
        <v>6</v>
      </c>
      <c r="C7" s="86"/>
      <c r="D7" s="86"/>
      <c r="E7" s="86"/>
      <c r="F7" s="120" t="s">
        <v>52</v>
      </c>
      <c r="G7" s="86"/>
      <c r="H7" s="86"/>
      <c r="I7" s="86"/>
      <c r="J7" s="86"/>
      <c r="K7" s="86"/>
      <c r="L7" s="86"/>
      <c r="M7" s="86"/>
      <c r="N7" s="86"/>
      <c r="O7" s="86" t="s">
        <v>77</v>
      </c>
      <c r="P7" s="86"/>
      <c r="Q7" s="117"/>
      <c r="R7" s="86"/>
      <c r="S7" s="117" t="s">
        <v>54</v>
      </c>
      <c r="T7" s="117" t="s">
        <v>59</v>
      </c>
      <c r="U7" s="86" t="s">
        <v>406</v>
      </c>
      <c r="V7" s="118" t="s">
        <v>351</v>
      </c>
      <c r="W7" s="117" t="s">
        <v>56</v>
      </c>
      <c r="X7" s="117" t="s">
        <v>825</v>
      </c>
      <c r="Y7" s="117">
        <v>113</v>
      </c>
      <c r="AL7">
        <v>4</v>
      </c>
      <c r="AM7">
        <f t="shared" si="0"/>
        <v>1</v>
      </c>
      <c r="AN7" s="287">
        <v>4</v>
      </c>
      <c r="AO7" s="287" t="s">
        <v>659</v>
      </c>
      <c r="AP7" s="287" t="s">
        <v>663</v>
      </c>
      <c r="AQ7" s="287" t="s">
        <v>148</v>
      </c>
      <c r="AR7" s="288" t="s">
        <v>639</v>
      </c>
      <c r="AS7" s="287" t="s">
        <v>922</v>
      </c>
      <c r="AT7" s="287" t="str">
        <f t="shared" si="3"/>
        <v>BB64:BB65</v>
      </c>
      <c r="AU7" s="288">
        <f>ROW()</f>
        <v>7</v>
      </c>
      <c r="AV7" s="288">
        <f t="array" ref="AV7">MINA(IF(AQ7=$BA$4:$BA$401,$BD$4:$BD$401))</f>
        <v>64</v>
      </c>
      <c r="AW7" s="288">
        <f t="array" ref="AW7">MAXA(IF(AQ7=$BA$4:$BA$401,$BD$4:$BD$401))</f>
        <v>65</v>
      </c>
      <c r="AX7" s="287" t="str">
        <f t="shared" si="4"/>
        <v>CIAS</v>
      </c>
      <c r="BA7" s="344" t="s">
        <v>82</v>
      </c>
      <c r="BB7" s="289" t="s">
        <v>664</v>
      </c>
      <c r="BC7" s="290">
        <f>COUNTIF(BA$4:BA7,BA7)</f>
        <v>2</v>
      </c>
      <c r="BD7" s="290">
        <f>ROW()</f>
        <v>7</v>
      </c>
      <c r="BE7" s="290">
        <f t="shared" si="1"/>
        <v>1</v>
      </c>
      <c r="BG7" t="s">
        <v>154</v>
      </c>
      <c r="BH7">
        <f t="shared" si="2"/>
        <v>1</v>
      </c>
    </row>
    <row r="8" spans="1:73" ht="15.75" thickTop="1" x14ac:dyDescent="0.25">
      <c r="B8" s="120">
        <v>7</v>
      </c>
      <c r="C8" s="86"/>
      <c r="D8" s="86"/>
      <c r="E8" s="86"/>
      <c r="F8" s="120" t="s">
        <v>58</v>
      </c>
      <c r="G8" s="86"/>
      <c r="H8" s="86"/>
      <c r="I8" s="86"/>
      <c r="J8" s="86"/>
      <c r="K8" s="86"/>
      <c r="L8" s="86"/>
      <c r="M8" s="86"/>
      <c r="N8" s="86"/>
      <c r="O8" s="86"/>
      <c r="P8" s="86"/>
      <c r="Q8" s="117"/>
      <c r="R8" s="86"/>
      <c r="S8" s="117" t="s">
        <v>404</v>
      </c>
      <c r="T8" s="117" t="s">
        <v>64</v>
      </c>
      <c r="U8" s="86"/>
      <c r="V8" s="121" t="s">
        <v>19</v>
      </c>
      <c r="W8" s="117" t="s">
        <v>61</v>
      </c>
      <c r="X8" s="117" t="s">
        <v>826</v>
      </c>
      <c r="Y8" s="117">
        <v>114</v>
      </c>
      <c r="AL8">
        <v>5</v>
      </c>
      <c r="AM8">
        <f t="shared" si="0"/>
        <v>1</v>
      </c>
      <c r="AN8" s="287">
        <v>5</v>
      </c>
      <c r="AO8" s="287" t="s">
        <v>659</v>
      </c>
      <c r="AP8" s="287" t="s">
        <v>665</v>
      </c>
      <c r="AQ8" s="287" t="s">
        <v>159</v>
      </c>
      <c r="AR8" s="288" t="s">
        <v>452</v>
      </c>
      <c r="AS8" s="287" t="s">
        <v>923</v>
      </c>
      <c r="AT8" s="287" t="str">
        <f t="shared" si="3"/>
        <v>BB107:BB111</v>
      </c>
      <c r="AU8" s="288">
        <f>ROW()</f>
        <v>8</v>
      </c>
      <c r="AV8" s="288">
        <f t="array" ref="AV8">MINA(IF(AQ8=$BA$4:$BA$401,$BD$4:$BD$401))</f>
        <v>107</v>
      </c>
      <c r="AW8" s="288">
        <f t="array" ref="AW8">MAXA(IF(AQ8=$BA$4:$BA$401,$BD$4:$BD$401))</f>
        <v>111</v>
      </c>
      <c r="AX8" s="287" t="str">
        <f t="shared" si="4"/>
        <v>CIAS</v>
      </c>
      <c r="BA8" s="344" t="s">
        <v>82</v>
      </c>
      <c r="BB8" s="289" t="s">
        <v>666</v>
      </c>
      <c r="BC8" s="290">
        <f>COUNTIF(BA$4:BA8,BA8)</f>
        <v>3</v>
      </c>
      <c r="BD8" s="290">
        <f>ROW()</f>
        <v>8</v>
      </c>
      <c r="BE8" s="290">
        <f t="shared" si="1"/>
        <v>1</v>
      </c>
      <c r="BG8" t="s">
        <v>184</v>
      </c>
      <c r="BH8">
        <f t="shared" si="2"/>
        <v>1</v>
      </c>
    </row>
    <row r="9" spans="1:73" x14ac:dyDescent="0.25">
      <c r="B9" s="120">
        <v>8</v>
      </c>
      <c r="C9" s="86"/>
      <c r="D9" s="86"/>
      <c r="E9" s="86"/>
      <c r="F9" s="120" t="s">
        <v>63</v>
      </c>
      <c r="G9" s="86"/>
      <c r="H9" s="86"/>
      <c r="I9" s="86"/>
      <c r="J9" s="86"/>
      <c r="K9" s="86"/>
      <c r="L9" s="86"/>
      <c r="M9" s="86"/>
      <c r="N9" s="86"/>
      <c r="O9" s="86"/>
      <c r="P9" s="86"/>
      <c r="Q9" s="117"/>
      <c r="R9" s="86"/>
      <c r="S9" s="117" t="s">
        <v>405</v>
      </c>
      <c r="T9" s="117" t="s">
        <v>811</v>
      </c>
      <c r="U9" s="86"/>
      <c r="V9" s="122" t="s">
        <v>29</v>
      </c>
      <c r="W9" s="117" t="s">
        <v>65</v>
      </c>
      <c r="X9" s="117" t="s">
        <v>827</v>
      </c>
      <c r="Y9" s="117">
        <v>211</v>
      </c>
      <c r="AL9">
        <v>6</v>
      </c>
      <c r="AM9">
        <f t="shared" si="0"/>
        <v>1</v>
      </c>
      <c r="AN9" s="287">
        <v>6</v>
      </c>
      <c r="AO9" s="287" t="s">
        <v>659</v>
      </c>
      <c r="AP9" s="287" t="s">
        <v>667</v>
      </c>
      <c r="AQ9" s="287" t="s">
        <v>167</v>
      </c>
      <c r="AR9" s="288" t="s">
        <v>32</v>
      </c>
      <c r="AS9" s="287" t="s">
        <v>924</v>
      </c>
      <c r="AT9" s="287" t="str">
        <f t="shared" si="3"/>
        <v>BB118:BB120</v>
      </c>
      <c r="AU9" s="288">
        <f>ROW()</f>
        <v>9</v>
      </c>
      <c r="AV9" s="288">
        <f t="array" ref="AV9">MINA(IF(AQ9=$BA$4:$BA$401,$BD$4:$BD$401))</f>
        <v>118</v>
      </c>
      <c r="AW9" s="288">
        <f t="array" ref="AW9">MAXA(IF(AQ9=$BA$4:$BA$401,$BD$4:$BD$401))</f>
        <v>120</v>
      </c>
      <c r="AX9" s="287" t="str">
        <f t="shared" si="4"/>
        <v>CIAS</v>
      </c>
      <c r="BA9" s="344" t="s">
        <v>82</v>
      </c>
      <c r="BB9" s="289" t="s">
        <v>668</v>
      </c>
      <c r="BC9" s="290">
        <f>COUNTIF(BA$4:BA9,BA9)</f>
        <v>4</v>
      </c>
      <c r="BD9" s="290">
        <f>ROW()</f>
        <v>9</v>
      </c>
      <c r="BE9" s="290">
        <f t="shared" si="1"/>
        <v>1</v>
      </c>
      <c r="BG9" t="s">
        <v>126</v>
      </c>
      <c r="BH9">
        <f t="shared" si="2"/>
        <v>1</v>
      </c>
    </row>
    <row r="10" spans="1:73" ht="15.75" thickBot="1" x14ac:dyDescent="0.3">
      <c r="B10" s="120">
        <v>9</v>
      </c>
      <c r="C10" s="86"/>
      <c r="D10" s="86"/>
      <c r="E10" s="86"/>
      <c r="F10" s="120" t="s">
        <v>67</v>
      </c>
      <c r="G10" s="86"/>
      <c r="H10" s="86"/>
      <c r="I10" s="201"/>
      <c r="J10" s="86"/>
      <c r="L10" s="86"/>
      <c r="M10" s="86"/>
      <c r="N10" s="86"/>
      <c r="O10" s="86"/>
      <c r="P10" s="86"/>
      <c r="Q10" s="117"/>
      <c r="R10" s="86"/>
      <c r="S10" s="117"/>
      <c r="T10" s="117"/>
      <c r="U10" s="86"/>
      <c r="V10" s="122" t="s">
        <v>517</v>
      </c>
      <c r="W10" s="117" t="s">
        <v>68</v>
      </c>
      <c r="X10" s="117" t="s">
        <v>828</v>
      </c>
      <c r="Y10" s="117">
        <v>212</v>
      </c>
      <c r="AL10">
        <v>7</v>
      </c>
      <c r="AM10">
        <f t="shared" si="0"/>
        <v>1</v>
      </c>
      <c r="AN10" s="287">
        <v>7</v>
      </c>
      <c r="AO10" s="287" t="s">
        <v>659</v>
      </c>
      <c r="AP10" s="287" t="s">
        <v>603</v>
      </c>
      <c r="AQ10" s="287" t="s">
        <v>604</v>
      </c>
      <c r="AR10" s="288" t="s">
        <v>22</v>
      </c>
      <c r="AS10" s="287" t="s">
        <v>925</v>
      </c>
      <c r="AT10" s="287" t="str">
        <f t="shared" si="3"/>
        <v>BB125:BB129</v>
      </c>
      <c r="AU10" s="288">
        <f>ROW()</f>
        <v>10</v>
      </c>
      <c r="AV10" s="288">
        <f t="array" ref="AV10">MINA(IF(AQ10=$BA$4:$BA$401,$BD$4:$BD$401))</f>
        <v>125</v>
      </c>
      <c r="AW10" s="288">
        <f t="array" ref="AW10">MAXA(IF(AQ10=$BA$4:$BA$401,$BD$4:$BD$401))</f>
        <v>129</v>
      </c>
      <c r="AX10" s="287" t="str">
        <f t="shared" si="4"/>
        <v>CIAS</v>
      </c>
      <c r="BA10" s="344" t="s">
        <v>89</v>
      </c>
      <c r="BB10" s="289" t="s">
        <v>90</v>
      </c>
      <c r="BC10" s="290">
        <f>COUNTIF(BA$4:BA10,BA10)</f>
        <v>1</v>
      </c>
      <c r="BD10" s="290">
        <f>ROW()</f>
        <v>10</v>
      </c>
      <c r="BE10" s="290">
        <f t="shared" si="1"/>
        <v>1</v>
      </c>
      <c r="BG10" t="s">
        <v>194</v>
      </c>
      <c r="BH10">
        <f t="shared" si="2"/>
        <v>1</v>
      </c>
    </row>
    <row r="11" spans="1:73" x14ac:dyDescent="0.25">
      <c r="B11" s="120">
        <v>10</v>
      </c>
      <c r="C11" s="86"/>
      <c r="D11" s="86"/>
      <c r="E11" s="86"/>
      <c r="F11" s="120" t="s">
        <v>70</v>
      </c>
      <c r="G11" s="86"/>
      <c r="H11" s="200"/>
      <c r="I11" s="203" t="s">
        <v>458</v>
      </c>
      <c r="J11" s="120"/>
      <c r="K11" s="86"/>
      <c r="L11" s="86"/>
      <c r="M11" s="86"/>
      <c r="N11" s="86"/>
      <c r="O11" s="86"/>
      <c r="P11" s="86"/>
      <c r="Q11" s="117"/>
      <c r="R11" s="86"/>
      <c r="S11" s="117"/>
      <c r="T11" s="117"/>
      <c r="U11" s="86"/>
      <c r="V11" s="122" t="s">
        <v>518</v>
      </c>
      <c r="W11" s="117" t="s">
        <v>71</v>
      </c>
      <c r="X11" s="117" t="s">
        <v>829</v>
      </c>
      <c r="Y11" s="117">
        <v>213</v>
      </c>
      <c r="AL11">
        <v>8</v>
      </c>
      <c r="AM11">
        <f t="shared" si="0"/>
        <v>1</v>
      </c>
      <c r="AN11" s="335">
        <v>8</v>
      </c>
      <c r="AO11" s="335" t="s">
        <v>659</v>
      </c>
      <c r="AP11" s="335" t="s">
        <v>926</v>
      </c>
      <c r="AQ11" s="335" t="s">
        <v>174</v>
      </c>
      <c r="AR11" s="336" t="s">
        <v>32</v>
      </c>
      <c r="AS11" s="335" t="s">
        <v>927</v>
      </c>
      <c r="AT11" s="335" t="str">
        <f t="shared" si="3"/>
        <v>BB134:BB138</v>
      </c>
      <c r="AU11" s="336">
        <f>ROW()</f>
        <v>11</v>
      </c>
      <c r="AV11" s="336">
        <f t="array" ref="AV11">MINA(IF(AQ11=$BA$4:$BA$401,$BD$4:$BD$401))</f>
        <v>134</v>
      </c>
      <c r="AW11" s="336">
        <f t="array" ref="AW11">MAXA(IF(AQ11=$BA$4:$BA$401,$BD$4:$BD$401))</f>
        <v>138</v>
      </c>
      <c r="AX11" s="335" t="str">
        <f t="shared" si="4"/>
        <v>CIAS</v>
      </c>
      <c r="BA11" s="344" t="s">
        <v>89</v>
      </c>
      <c r="BB11" s="289" t="s">
        <v>1008</v>
      </c>
      <c r="BC11" s="290">
        <f>COUNTIF(BA$4:BA11,BA11)</f>
        <v>2</v>
      </c>
      <c r="BD11" s="290">
        <f>ROW()</f>
        <v>11</v>
      </c>
      <c r="BE11" s="290">
        <f t="shared" si="1"/>
        <v>1</v>
      </c>
      <c r="BG11" t="s">
        <v>99</v>
      </c>
      <c r="BH11">
        <f t="shared" si="2"/>
        <v>1</v>
      </c>
    </row>
    <row r="12" spans="1:73" ht="15.75" thickBot="1" x14ac:dyDescent="0.3">
      <c r="B12" s="120">
        <v>11</v>
      </c>
      <c r="C12" s="86"/>
      <c r="D12" s="86"/>
      <c r="E12" s="86"/>
      <c r="F12" s="120" t="s">
        <v>73</v>
      </c>
      <c r="G12" s="86"/>
      <c r="H12" s="200"/>
      <c r="I12" s="204">
        <v>999</v>
      </c>
      <c r="J12" s="120"/>
      <c r="K12" s="86"/>
      <c r="L12" s="86"/>
      <c r="M12" s="86"/>
      <c r="N12" s="86"/>
      <c r="O12" s="86"/>
      <c r="P12" s="86"/>
      <c r="Q12" s="117"/>
      <c r="R12" s="86"/>
      <c r="S12" s="117"/>
      <c r="T12" s="117"/>
      <c r="U12" s="86"/>
      <c r="V12" s="244" t="s">
        <v>579</v>
      </c>
      <c r="W12" s="117" t="s">
        <v>74</v>
      </c>
      <c r="X12" s="117" t="s">
        <v>830</v>
      </c>
      <c r="Y12" s="117">
        <v>214</v>
      </c>
      <c r="AL12">
        <v>9</v>
      </c>
      <c r="AM12">
        <f t="shared" si="0"/>
        <v>1</v>
      </c>
      <c r="AN12" s="287">
        <v>9</v>
      </c>
      <c r="AO12" s="287" t="s">
        <v>659</v>
      </c>
      <c r="AP12" s="287" t="s">
        <v>670</v>
      </c>
      <c r="AQ12" s="287" t="s">
        <v>185</v>
      </c>
      <c r="AR12" s="288" t="s">
        <v>32</v>
      </c>
      <c r="AS12" s="287" t="s">
        <v>928</v>
      </c>
      <c r="AT12" s="287" t="str">
        <f t="shared" si="3"/>
        <v>BB167:BB170</v>
      </c>
      <c r="AU12" s="288">
        <f>ROW()</f>
        <v>12</v>
      </c>
      <c r="AV12" s="288">
        <f t="array" ref="AV12">MINA(IF(AQ12=$BA$4:$BA$401,$BD$4:$BD$401))</f>
        <v>167</v>
      </c>
      <c r="AW12" s="288">
        <f t="array" ref="AW12">MAXA(IF(AQ12=$BA$4:$BA$401,$BD$4:$BD$401))</f>
        <v>170</v>
      </c>
      <c r="AX12" s="287" t="str">
        <f t="shared" si="4"/>
        <v>CIAS</v>
      </c>
      <c r="BA12" s="344" t="s">
        <v>99</v>
      </c>
      <c r="BB12" s="289" t="s">
        <v>669</v>
      </c>
      <c r="BC12" s="290">
        <f>COUNTIF(BA$4:BA12,BA12)</f>
        <v>1</v>
      </c>
      <c r="BD12" s="290">
        <f>ROW()</f>
        <v>12</v>
      </c>
      <c r="BE12" s="290">
        <f t="shared" si="1"/>
        <v>1</v>
      </c>
      <c r="BG12" t="s">
        <v>148</v>
      </c>
      <c r="BH12">
        <f t="shared" si="2"/>
        <v>1</v>
      </c>
    </row>
    <row r="13" spans="1:73" x14ac:dyDescent="0.25">
      <c r="B13" s="120">
        <v>12</v>
      </c>
      <c r="C13" s="86"/>
      <c r="D13" s="86"/>
      <c r="E13" s="86"/>
      <c r="F13" s="120" t="s">
        <v>76</v>
      </c>
      <c r="G13" s="86"/>
      <c r="H13" s="86"/>
      <c r="I13" s="202"/>
      <c r="J13" s="86"/>
      <c r="K13" s="86"/>
      <c r="L13" s="86"/>
      <c r="M13" s="86"/>
      <c r="N13" s="86"/>
      <c r="O13" s="86"/>
      <c r="P13" s="86"/>
      <c r="Q13" s="117"/>
      <c r="R13" s="86"/>
      <c r="S13" s="117"/>
      <c r="T13" s="117"/>
      <c r="U13" s="86"/>
      <c r="V13" s="244" t="s">
        <v>580</v>
      </c>
      <c r="W13" s="117" t="s">
        <v>77</v>
      </c>
      <c r="X13" s="117" t="s">
        <v>831</v>
      </c>
      <c r="Y13" s="117">
        <v>215</v>
      </c>
      <c r="AL13">
        <v>10</v>
      </c>
      <c r="AM13">
        <f t="shared" si="0"/>
        <v>1</v>
      </c>
      <c r="AN13" s="287">
        <v>10</v>
      </c>
      <c r="AO13" s="287" t="s">
        <v>659</v>
      </c>
      <c r="AP13" s="287" t="s">
        <v>127</v>
      </c>
      <c r="AQ13" s="287" t="s">
        <v>187</v>
      </c>
      <c r="AR13" s="288" t="s">
        <v>32</v>
      </c>
      <c r="AS13" s="287" t="s">
        <v>929</v>
      </c>
      <c r="AT13" s="287" t="str">
        <f t="shared" si="3"/>
        <v>BB171:BB171</v>
      </c>
      <c r="AU13" s="288">
        <f>ROW()</f>
        <v>13</v>
      </c>
      <c r="AV13" s="288">
        <f t="array" ref="AV13">MINA(IF(AQ13=$BA$4:$BA$401,$BD$4:$BD$401))</f>
        <v>171</v>
      </c>
      <c r="AW13" s="288">
        <f t="array" ref="AW13">MAXA(IF(AQ13=$BA$4:$BA$401,$BD$4:$BD$401))</f>
        <v>171</v>
      </c>
      <c r="AX13" s="287" t="str">
        <f t="shared" si="4"/>
        <v>CIAS</v>
      </c>
      <c r="BA13" s="344" t="s">
        <v>99</v>
      </c>
      <c r="BB13" s="289" t="s">
        <v>671</v>
      </c>
      <c r="BC13" s="290">
        <f>COUNTIF(BA$4:BA13,BA13)</f>
        <v>2</v>
      </c>
      <c r="BD13" s="290">
        <f>ROW()</f>
        <v>13</v>
      </c>
      <c r="BE13" s="290">
        <f t="shared" si="1"/>
        <v>1</v>
      </c>
      <c r="BG13" t="s">
        <v>151</v>
      </c>
      <c r="BH13">
        <f t="shared" si="2"/>
        <v>1</v>
      </c>
    </row>
    <row r="14" spans="1:73" x14ac:dyDescent="0.25">
      <c r="B14" s="120">
        <v>13</v>
      </c>
      <c r="C14" s="86"/>
      <c r="D14" s="86"/>
      <c r="E14" s="86"/>
      <c r="F14" s="120" t="s">
        <v>78</v>
      </c>
      <c r="G14" s="86"/>
      <c r="H14" s="86"/>
      <c r="I14" s="86"/>
      <c r="J14" s="86"/>
      <c r="K14" s="86"/>
      <c r="L14" s="86"/>
      <c r="M14" s="86"/>
      <c r="N14" s="86"/>
      <c r="O14" s="86"/>
      <c r="P14" s="86"/>
      <c r="Q14" s="117"/>
      <c r="R14" s="86"/>
      <c r="S14" s="117"/>
      <c r="T14" s="117"/>
      <c r="U14" s="86"/>
      <c r="V14" s="122" t="s">
        <v>28</v>
      </c>
      <c r="W14" s="117"/>
      <c r="X14" s="117" t="s">
        <v>832</v>
      </c>
      <c r="Y14" s="117">
        <v>221</v>
      </c>
      <c r="AL14">
        <v>11</v>
      </c>
      <c r="AM14">
        <f t="shared" si="0"/>
        <v>1</v>
      </c>
      <c r="AN14" s="287">
        <v>11</v>
      </c>
      <c r="AO14" s="287" t="s">
        <v>659</v>
      </c>
      <c r="AP14" s="287" t="s">
        <v>128</v>
      </c>
      <c r="AQ14" s="287" t="s">
        <v>188</v>
      </c>
      <c r="AR14" s="288" t="s">
        <v>452</v>
      </c>
      <c r="AS14" s="287" t="s">
        <v>930</v>
      </c>
      <c r="AT14" s="287" t="str">
        <f t="shared" si="3"/>
        <v>BB172:BB180</v>
      </c>
      <c r="AU14" s="288">
        <f>ROW()</f>
        <v>14</v>
      </c>
      <c r="AV14" s="288">
        <f t="array" ref="AV14">MINA(IF(AQ14=$BA$4:$BA$401,$BD$4:$BD$401))</f>
        <v>172</v>
      </c>
      <c r="AW14" s="288">
        <f t="array" ref="AW14">MAXA(IF(AQ14=$BA$4:$BA$401,$BD$4:$BD$401))</f>
        <v>180</v>
      </c>
      <c r="AX14" s="287" t="str">
        <f t="shared" si="4"/>
        <v>CIAS</v>
      </c>
      <c r="BA14" s="344" t="s">
        <v>99</v>
      </c>
      <c r="BB14" s="289" t="s">
        <v>570</v>
      </c>
      <c r="BC14" s="290">
        <f>COUNTIF(BA$4:BA14,BA14)</f>
        <v>3</v>
      </c>
      <c r="BD14" s="290">
        <f>ROW()</f>
        <v>14</v>
      </c>
      <c r="BE14" s="290">
        <f t="shared" si="1"/>
        <v>1</v>
      </c>
      <c r="BG14" t="s">
        <v>172</v>
      </c>
      <c r="BH14">
        <f t="shared" si="2"/>
        <v>1</v>
      </c>
    </row>
    <row r="15" spans="1:73" x14ac:dyDescent="0.25">
      <c r="B15" s="120">
        <v>14</v>
      </c>
      <c r="C15" s="86"/>
      <c r="D15" s="86"/>
      <c r="E15" s="86"/>
      <c r="F15" s="120" t="s">
        <v>81</v>
      </c>
      <c r="G15" s="86"/>
      <c r="H15" s="86"/>
      <c r="I15" s="86" t="s">
        <v>479</v>
      </c>
      <c r="J15" s="86"/>
      <c r="K15" s="86"/>
      <c r="L15" s="86"/>
      <c r="M15" s="86"/>
      <c r="N15" s="86"/>
      <c r="O15" s="86"/>
      <c r="P15" s="86"/>
      <c r="Q15" s="117"/>
      <c r="R15" s="86"/>
      <c r="S15" s="117"/>
      <c r="T15" s="117"/>
      <c r="U15" s="86"/>
      <c r="V15" s="122" t="s">
        <v>351</v>
      </c>
      <c r="W15" s="117"/>
      <c r="X15" s="117" t="s">
        <v>833</v>
      </c>
      <c r="Y15" s="117">
        <v>222</v>
      </c>
      <c r="AL15">
        <v>12</v>
      </c>
      <c r="AM15">
        <f t="shared" si="0"/>
        <v>1</v>
      </c>
      <c r="AN15" s="287">
        <v>12</v>
      </c>
      <c r="AO15" s="287" t="s">
        <v>659</v>
      </c>
      <c r="AP15" s="287" t="s">
        <v>931</v>
      </c>
      <c r="AQ15" s="287" t="s">
        <v>191</v>
      </c>
      <c r="AR15" s="288" t="s">
        <v>32</v>
      </c>
      <c r="AS15" s="287" t="s">
        <v>932</v>
      </c>
      <c r="AT15" s="287" t="str">
        <f t="shared" si="3"/>
        <v>BB181:BB185</v>
      </c>
      <c r="AU15" s="288">
        <f>ROW()</f>
        <v>15</v>
      </c>
      <c r="AV15" s="288">
        <f t="array" ref="AV15">MINA(IF(AQ15=$BA$4:$BA$401,$BD$4:$BD$401))</f>
        <v>181</v>
      </c>
      <c r="AW15" s="288">
        <f t="array" ref="AW15">MAXA(IF(AQ15=$BA$4:$BA$401,$BD$4:$BD$401))</f>
        <v>185</v>
      </c>
      <c r="AX15" s="287" t="str">
        <f t="shared" si="4"/>
        <v>CIAS</v>
      </c>
      <c r="BA15" s="344" t="s">
        <v>99</v>
      </c>
      <c r="BB15" s="289" t="s">
        <v>100</v>
      </c>
      <c r="BC15" s="290">
        <f>COUNTIF(BA$4:BA15,BA15)</f>
        <v>4</v>
      </c>
      <c r="BD15" s="290">
        <f>ROW()</f>
        <v>15</v>
      </c>
      <c r="BE15" s="290">
        <f t="shared" si="1"/>
        <v>1</v>
      </c>
      <c r="BG15" t="s">
        <v>174</v>
      </c>
      <c r="BH15">
        <f t="shared" si="2"/>
        <v>1</v>
      </c>
    </row>
    <row r="16" spans="1:73" x14ac:dyDescent="0.25">
      <c r="B16" s="120">
        <v>15</v>
      </c>
      <c r="C16" s="86"/>
      <c r="D16" s="86"/>
      <c r="E16" s="86"/>
      <c r="F16" s="120" t="s">
        <v>83</v>
      </c>
      <c r="G16" s="86" t="s">
        <v>639</v>
      </c>
      <c r="H16" s="86" t="s">
        <v>258</v>
      </c>
      <c r="I16" s="253" t="s">
        <v>567</v>
      </c>
      <c r="J16" s="86"/>
      <c r="K16" s="86" t="s">
        <v>391</v>
      </c>
      <c r="L16" s="86" t="s">
        <v>43</v>
      </c>
      <c r="M16" s="86">
        <v>12</v>
      </c>
      <c r="N16" s="86">
        <v>15</v>
      </c>
      <c r="O16" s="86"/>
      <c r="P16" s="86"/>
      <c r="Q16" s="117"/>
      <c r="R16" s="86"/>
      <c r="S16" s="117"/>
      <c r="T16" s="117"/>
      <c r="U16" s="86"/>
      <c r="V16" s="124" t="s">
        <v>79</v>
      </c>
      <c r="W16" s="117"/>
      <c r="X16" s="117" t="s">
        <v>834</v>
      </c>
      <c r="Y16" s="117">
        <v>223</v>
      </c>
      <c r="AL16">
        <v>13</v>
      </c>
      <c r="AM16">
        <f t="shared" si="0"/>
        <v>1</v>
      </c>
      <c r="AN16" s="287">
        <v>13</v>
      </c>
      <c r="AO16" s="287" t="s">
        <v>659</v>
      </c>
      <c r="AP16" s="287" t="s">
        <v>672</v>
      </c>
      <c r="AQ16" s="287" t="s">
        <v>207</v>
      </c>
      <c r="AR16" s="288" t="s">
        <v>32</v>
      </c>
      <c r="AS16" s="287" t="s">
        <v>933</v>
      </c>
      <c r="AT16" s="287" t="str">
        <f t="shared" si="3"/>
        <v>BB240:BB242</v>
      </c>
      <c r="AU16" s="288">
        <f>ROW()</f>
        <v>16</v>
      </c>
      <c r="AV16" s="288">
        <f t="array" ref="AV16">MINA(IF(AQ16=$BA$4:$BA$401,$BD$4:$BD$401))</f>
        <v>240</v>
      </c>
      <c r="AW16" s="288">
        <f t="array" ref="AW16">MAXA(IF(AQ16=$BA$4:$BA$401,$BD$4:$BD$401))</f>
        <v>242</v>
      </c>
      <c r="AX16" s="287" t="str">
        <f t="shared" si="4"/>
        <v>CIAS</v>
      </c>
      <c r="BA16" s="344" t="s">
        <v>99</v>
      </c>
      <c r="BB16" s="289" t="s">
        <v>571</v>
      </c>
      <c r="BC16" s="290">
        <f>COUNTIF(BA$4:BA16,BA16)</f>
        <v>5</v>
      </c>
      <c r="BD16" s="290">
        <f>ROW()</f>
        <v>16</v>
      </c>
      <c r="BE16" s="290">
        <f t="shared" si="1"/>
        <v>1</v>
      </c>
      <c r="BG16" t="s">
        <v>135</v>
      </c>
      <c r="BH16">
        <f t="shared" si="2"/>
        <v>1</v>
      </c>
    </row>
    <row r="17" spans="2:60" x14ac:dyDescent="0.25">
      <c r="B17" s="120">
        <v>16</v>
      </c>
      <c r="C17" s="86"/>
      <c r="D17" s="86"/>
      <c r="E17" s="86"/>
      <c r="F17" s="120" t="s">
        <v>85</v>
      </c>
      <c r="G17" s="86" t="s">
        <v>452</v>
      </c>
      <c r="H17" s="86" t="s">
        <v>258</v>
      </c>
      <c r="I17" s="86"/>
      <c r="J17" s="86"/>
      <c r="K17" s="86" t="s">
        <v>392</v>
      </c>
      <c r="L17" s="86" t="s">
        <v>49</v>
      </c>
      <c r="M17" s="86">
        <v>6</v>
      </c>
      <c r="N17" s="86">
        <v>10</v>
      </c>
      <c r="O17" s="86"/>
      <c r="P17" s="86"/>
      <c r="Q17" s="117"/>
      <c r="R17" s="86"/>
      <c r="S17" s="117"/>
      <c r="T17" s="117"/>
      <c r="U17" s="86"/>
      <c r="V17" s="124" t="s">
        <v>640</v>
      </c>
      <c r="W17" s="117"/>
      <c r="X17" s="117" t="s">
        <v>835</v>
      </c>
      <c r="Y17" s="117">
        <v>231</v>
      </c>
      <c r="AL17">
        <v>14</v>
      </c>
      <c r="AM17">
        <f t="shared" si="0"/>
        <v>1</v>
      </c>
      <c r="AN17" s="287">
        <v>14</v>
      </c>
      <c r="AO17" s="287" t="s">
        <v>659</v>
      </c>
      <c r="AP17" s="287" t="s">
        <v>597</v>
      </c>
      <c r="AQ17" s="287" t="s">
        <v>232</v>
      </c>
      <c r="AR17" s="288" t="s">
        <v>32</v>
      </c>
      <c r="AS17" s="287" t="s">
        <v>934</v>
      </c>
      <c r="AT17" s="287" t="str">
        <f t="shared" si="3"/>
        <v>BB248:BB252</v>
      </c>
      <c r="AU17" s="288">
        <f>ROW()</f>
        <v>17</v>
      </c>
      <c r="AV17" s="288">
        <f t="array" ref="AV17">MINA(IF(AQ17=$BA$4:$BA$401,$BD$4:$BD$401))</f>
        <v>248</v>
      </c>
      <c r="AW17" s="288">
        <f t="array" ref="AW17">MAXA(IF(AQ17=$BA$4:$BA$401,$BD$4:$BD$401))</f>
        <v>252</v>
      </c>
      <c r="AX17" s="287" t="str">
        <f t="shared" si="4"/>
        <v>CIAS</v>
      </c>
      <c r="BA17" s="344" t="s">
        <v>104</v>
      </c>
      <c r="BB17" s="289" t="s">
        <v>673</v>
      </c>
      <c r="BC17" s="290">
        <f>COUNTIF(BA$4:BA17,BA17)</f>
        <v>1</v>
      </c>
      <c r="BD17" s="290">
        <f>ROW()</f>
        <v>17</v>
      </c>
      <c r="BE17" s="290">
        <f t="shared" si="1"/>
        <v>1</v>
      </c>
      <c r="BG17" t="s">
        <v>210</v>
      </c>
      <c r="BH17">
        <f t="shared" si="2"/>
        <v>1</v>
      </c>
    </row>
    <row r="18" spans="2:60" x14ac:dyDescent="0.25">
      <c r="B18" s="120">
        <v>17</v>
      </c>
      <c r="C18" s="86"/>
      <c r="D18" s="86"/>
      <c r="E18" s="86"/>
      <c r="F18" s="120" t="s">
        <v>87</v>
      </c>
      <c r="G18" s="86" t="s">
        <v>22</v>
      </c>
      <c r="H18" s="86" t="s">
        <v>258</v>
      </c>
      <c r="I18" s="86"/>
      <c r="J18" s="86"/>
      <c r="K18" s="86" t="s">
        <v>393</v>
      </c>
      <c r="L18" s="86" t="s">
        <v>358</v>
      </c>
      <c r="M18" s="86">
        <v>36</v>
      </c>
      <c r="N18" s="86">
        <v>600</v>
      </c>
      <c r="O18" s="86"/>
      <c r="P18" s="86"/>
      <c r="Q18" s="117"/>
      <c r="R18" s="86"/>
      <c r="S18" s="117"/>
      <c r="T18" s="117"/>
      <c r="U18" s="86"/>
      <c r="V18" s="124" t="s">
        <v>28</v>
      </c>
      <c r="W18" s="117"/>
      <c r="X18" s="117" t="s">
        <v>836</v>
      </c>
      <c r="Y18" s="117">
        <v>232</v>
      </c>
      <c r="AL18">
        <v>15</v>
      </c>
      <c r="AM18">
        <f t="shared" si="0"/>
        <v>1</v>
      </c>
      <c r="AN18" s="337">
        <v>71</v>
      </c>
      <c r="AO18" s="337" t="s">
        <v>659</v>
      </c>
      <c r="AP18" s="337" t="s">
        <v>935</v>
      </c>
      <c r="AQ18" s="337" t="s">
        <v>936</v>
      </c>
      <c r="AR18" s="338" t="s">
        <v>676</v>
      </c>
      <c r="AS18" s="337" t="s">
        <v>937</v>
      </c>
      <c r="AT18" s="337" t="str">
        <f>$AT$2&amp;AV18&amp;":"&amp;$AT$2&amp;AW18</f>
        <v>BB296:BB301</v>
      </c>
      <c r="AU18" s="338">
        <f>ROW()</f>
        <v>18</v>
      </c>
      <c r="AV18" s="338">
        <f t="array" ref="AV18">MINA(IF(AQ18=$BA$4:$BA$401,$BD$4:$BD$401))</f>
        <v>296</v>
      </c>
      <c r="AW18" s="338">
        <f t="array" ref="AW18">MAXA(IF(AQ18=$BA$4:$BA$401,$BD$4:$BD$401))</f>
        <v>301</v>
      </c>
      <c r="AX18" s="337" t="str">
        <f>AO18</f>
        <v>CIAS</v>
      </c>
      <c r="BA18" s="344" t="s">
        <v>104</v>
      </c>
      <c r="BB18" s="289" t="s">
        <v>108</v>
      </c>
      <c r="BC18" s="290">
        <f>COUNTIF(BA$4:BA18,BA18)</f>
        <v>2</v>
      </c>
      <c r="BD18" s="290">
        <f>ROW()</f>
        <v>18</v>
      </c>
      <c r="BE18" s="290">
        <f t="shared" si="1"/>
        <v>1</v>
      </c>
      <c r="BG18" t="s">
        <v>179</v>
      </c>
      <c r="BH18">
        <f t="shared" si="2"/>
        <v>1</v>
      </c>
    </row>
    <row r="19" spans="2:60" x14ac:dyDescent="0.25">
      <c r="B19" s="120">
        <v>18</v>
      </c>
      <c r="C19" s="86"/>
      <c r="D19" s="86"/>
      <c r="E19" s="86"/>
      <c r="F19" s="120" t="s">
        <v>91</v>
      </c>
      <c r="G19" s="86" t="s">
        <v>32</v>
      </c>
      <c r="H19" s="86" t="s">
        <v>258</v>
      </c>
      <c r="I19" s="86"/>
      <c r="J19" s="86"/>
      <c r="K19" s="86" t="s">
        <v>394</v>
      </c>
      <c r="L19" s="86" t="s">
        <v>453</v>
      </c>
      <c r="M19" s="86">
        <v>12</v>
      </c>
      <c r="N19" s="86">
        <v>0</v>
      </c>
      <c r="O19" s="86"/>
      <c r="P19" s="86"/>
      <c r="Q19" s="117"/>
      <c r="R19" s="86"/>
      <c r="S19" s="117"/>
      <c r="T19" s="117"/>
      <c r="V19" s="123" t="s">
        <v>86</v>
      </c>
      <c r="W19" s="117"/>
      <c r="X19" s="117" t="s">
        <v>837</v>
      </c>
      <c r="Y19" s="117">
        <v>311</v>
      </c>
      <c r="AL19">
        <v>16</v>
      </c>
      <c r="AM19">
        <f t="shared" si="0"/>
        <v>1</v>
      </c>
      <c r="AN19" s="337">
        <v>72</v>
      </c>
      <c r="AO19" s="337" t="s">
        <v>659</v>
      </c>
      <c r="AP19" s="337" t="s">
        <v>938</v>
      </c>
      <c r="AQ19" s="337" t="s">
        <v>939</v>
      </c>
      <c r="AR19" s="338" t="s">
        <v>676</v>
      </c>
      <c r="AS19" s="339" t="s">
        <v>940</v>
      </c>
      <c r="AT19" s="337" t="str">
        <f t="shared" ref="AT19:AT76" si="5">$AT$2&amp;AV19&amp;":"&amp;$AT$2&amp;AW19</f>
        <v>BB302:BB305</v>
      </c>
      <c r="AU19" s="338">
        <f>ROW()</f>
        <v>19</v>
      </c>
      <c r="AV19" s="338">
        <f t="array" ref="AV19">MINA(IF(AQ19=$BA$4:$BA$401,$BD$4:$BD$401))</f>
        <v>302</v>
      </c>
      <c r="AW19" s="338">
        <f t="array" ref="AW19">MAXA(IF(AQ19=$BA$4:$BA$401,$BD$4:$BD$401))</f>
        <v>305</v>
      </c>
      <c r="AX19" s="337" t="str">
        <f>AO19</f>
        <v>CIAS</v>
      </c>
      <c r="BA19" s="344" t="s">
        <v>104</v>
      </c>
      <c r="BB19" s="289" t="s">
        <v>1009</v>
      </c>
      <c r="BC19" s="290">
        <f>COUNTIF(BA$4:BA19,BA19)</f>
        <v>3</v>
      </c>
      <c r="BD19" s="290">
        <f>ROW()</f>
        <v>19</v>
      </c>
      <c r="BE19" s="290">
        <f t="shared" si="1"/>
        <v>1</v>
      </c>
      <c r="BG19" t="s">
        <v>115</v>
      </c>
      <c r="BH19">
        <f t="shared" si="2"/>
        <v>1</v>
      </c>
    </row>
    <row r="20" spans="2:60" x14ac:dyDescent="0.25">
      <c r="B20" s="120">
        <v>19</v>
      </c>
      <c r="C20" s="86"/>
      <c r="D20" s="86"/>
      <c r="E20" s="86"/>
      <c r="F20" s="120" t="s">
        <v>93</v>
      </c>
      <c r="G20" s="86" t="s">
        <v>41</v>
      </c>
      <c r="H20" s="86" t="s">
        <v>258</v>
      </c>
      <c r="I20" s="86"/>
      <c r="J20" s="86"/>
      <c r="K20" s="86"/>
      <c r="L20" s="86"/>
      <c r="M20" s="86"/>
      <c r="N20" s="86"/>
      <c r="O20" s="86"/>
      <c r="P20" s="86"/>
      <c r="Q20" s="117"/>
      <c r="R20" s="86"/>
      <c r="S20" s="117"/>
      <c r="T20" s="117"/>
      <c r="U20" s="86"/>
      <c r="V20" s="123" t="s">
        <v>88</v>
      </c>
      <c r="W20" s="117"/>
      <c r="X20" s="117" t="s">
        <v>838</v>
      </c>
      <c r="Y20" s="117">
        <v>312</v>
      </c>
      <c r="AL20">
        <v>17</v>
      </c>
      <c r="AM20">
        <f t="shared" si="0"/>
        <v>1</v>
      </c>
      <c r="AN20" s="287">
        <v>15</v>
      </c>
      <c r="AO20" s="287" t="s">
        <v>674</v>
      </c>
      <c r="AP20" s="340" t="s">
        <v>941</v>
      </c>
      <c r="AQ20" s="287" t="s">
        <v>126</v>
      </c>
      <c r="AR20" s="288" t="s">
        <v>22</v>
      </c>
      <c r="AS20" s="287" t="s">
        <v>942</v>
      </c>
      <c r="AT20" s="287" t="str">
        <f t="shared" si="5"/>
        <v>BB33:BB37</v>
      </c>
      <c r="AU20" s="288">
        <f>ROW()</f>
        <v>20</v>
      </c>
      <c r="AV20" s="288">
        <f t="array" ref="AV20">MINA(IF(AQ20=$BA$4:$BA$401,$BD$4:$BD$401))</f>
        <v>33</v>
      </c>
      <c r="AW20" s="288">
        <f t="array" ref="AW20">MAXA(IF(AQ20=$BA$4:$BA$401,$BD$4:$BD$401))</f>
        <v>37</v>
      </c>
      <c r="AX20" s="287" t="str">
        <f t="shared" ref="AX20:AX76" si="6">AO20</f>
        <v>DER</v>
      </c>
      <c r="BA20" s="344" t="s">
        <v>104</v>
      </c>
      <c r="BB20" s="289" t="s">
        <v>105</v>
      </c>
      <c r="BC20" s="290">
        <f>COUNTIF(BA$4:BA20,BA20)</f>
        <v>4</v>
      </c>
      <c r="BD20" s="290">
        <f>ROW()</f>
        <v>20</v>
      </c>
      <c r="BE20" s="290">
        <f t="shared" si="1"/>
        <v>1</v>
      </c>
      <c r="BG20" t="s">
        <v>66</v>
      </c>
      <c r="BH20">
        <f t="shared" si="2"/>
        <v>1</v>
      </c>
    </row>
    <row r="21" spans="2:60" x14ac:dyDescent="0.25">
      <c r="B21" s="120">
        <v>20</v>
      </c>
      <c r="C21" s="86"/>
      <c r="D21" s="86"/>
      <c r="E21" s="86"/>
      <c r="F21" s="120" t="s">
        <v>96</v>
      </c>
      <c r="G21" s="86" t="s">
        <v>446</v>
      </c>
      <c r="H21" s="86" t="s">
        <v>261</v>
      </c>
      <c r="I21" s="86"/>
      <c r="J21" s="86"/>
      <c r="K21" s="86"/>
      <c r="L21" s="86"/>
      <c r="M21" s="86"/>
      <c r="N21" s="86"/>
      <c r="O21" s="86"/>
      <c r="P21" s="86"/>
      <c r="Q21" s="117"/>
      <c r="R21" s="86"/>
      <c r="S21" s="117"/>
      <c r="T21" s="117"/>
      <c r="U21" s="86"/>
      <c r="V21" s="123" t="s">
        <v>37</v>
      </c>
      <c r="W21" s="117"/>
      <c r="X21" s="117" t="s">
        <v>839</v>
      </c>
      <c r="Y21" s="117">
        <v>313</v>
      </c>
      <c r="AL21">
        <v>18</v>
      </c>
      <c r="AM21">
        <f t="shared" si="0"/>
        <v>1</v>
      </c>
      <c r="AN21" s="287">
        <v>16</v>
      </c>
      <c r="AO21" s="287" t="s">
        <v>674</v>
      </c>
      <c r="AP21" s="287" t="s">
        <v>147</v>
      </c>
      <c r="AQ21" s="287" t="s">
        <v>233</v>
      </c>
      <c r="AR21" s="288" t="s">
        <v>638</v>
      </c>
      <c r="AS21" s="287" t="s">
        <v>943</v>
      </c>
      <c r="AT21" s="287" t="str">
        <f t="shared" si="5"/>
        <v>BB198:BB199</v>
      </c>
      <c r="AU21" s="288">
        <f>ROW()</f>
        <v>21</v>
      </c>
      <c r="AV21" s="288">
        <f t="array" ref="AV21">MINA(IF(AQ21=$BA$4:$BA$401,$BD$4:$BD$401))</f>
        <v>198</v>
      </c>
      <c r="AW21" s="288">
        <f t="array" ref="AW21">MAXA(IF(AQ21=$BA$4:$BA$401,$BD$4:$BD$401))</f>
        <v>199</v>
      </c>
      <c r="AX21" s="287" t="str">
        <f t="shared" si="6"/>
        <v>DER</v>
      </c>
      <c r="BA21" s="344" t="s">
        <v>115</v>
      </c>
      <c r="BB21" s="289" t="s">
        <v>675</v>
      </c>
      <c r="BC21" s="290">
        <f>COUNTIF(BA$4:BA21,BA21)</f>
        <v>1</v>
      </c>
      <c r="BD21" s="290">
        <f>ROW()</f>
        <v>21</v>
      </c>
      <c r="BE21" s="290">
        <f t="shared" si="1"/>
        <v>1</v>
      </c>
      <c r="BG21" t="s">
        <v>165</v>
      </c>
      <c r="BH21">
        <f t="shared" si="2"/>
        <v>1</v>
      </c>
    </row>
    <row r="22" spans="2:60" x14ac:dyDescent="0.25">
      <c r="B22" s="120">
        <v>21</v>
      </c>
      <c r="C22" s="86"/>
      <c r="D22" s="86"/>
      <c r="E22" s="86"/>
      <c r="F22" s="198" t="s">
        <v>508</v>
      </c>
      <c r="G22" s="86" t="s">
        <v>676</v>
      </c>
      <c r="H22" s="86" t="s">
        <v>261</v>
      </c>
      <c r="I22" s="86"/>
      <c r="J22" s="86"/>
      <c r="K22" s="86"/>
      <c r="L22" s="86"/>
      <c r="M22" s="86"/>
      <c r="N22" s="86"/>
      <c r="O22" s="86"/>
      <c r="P22" s="86"/>
      <c r="Q22" s="117"/>
      <c r="R22" s="86"/>
      <c r="S22" s="117"/>
      <c r="T22" s="117"/>
      <c r="U22" s="86"/>
      <c r="V22" s="125" t="s">
        <v>94</v>
      </c>
      <c r="W22" s="117"/>
      <c r="X22" s="117" t="s">
        <v>840</v>
      </c>
      <c r="Y22" s="117">
        <v>314</v>
      </c>
      <c r="AL22">
        <v>19</v>
      </c>
      <c r="AM22">
        <f t="shared" si="0"/>
        <v>1</v>
      </c>
      <c r="AN22" s="287">
        <v>17</v>
      </c>
      <c r="AO22" s="287" t="s">
        <v>674</v>
      </c>
      <c r="AP22" s="287" t="s">
        <v>944</v>
      </c>
      <c r="AQ22" s="287" t="s">
        <v>591</v>
      </c>
      <c r="AR22" s="288" t="s">
        <v>676</v>
      </c>
      <c r="AS22" s="287" t="s">
        <v>945</v>
      </c>
      <c r="AT22" s="287" t="str">
        <f t="shared" si="5"/>
        <v>BB273:BB278</v>
      </c>
      <c r="AU22" s="288">
        <f>ROW()</f>
        <v>22</v>
      </c>
      <c r="AV22" s="288">
        <f t="array" ref="AV22">MINA(IF(AQ22=$BA$4:$BA$401,$BD$4:$BD$401))</f>
        <v>273</v>
      </c>
      <c r="AW22" s="288">
        <f t="array" ref="AW22">MAXA(IF(AQ22=$BA$4:$BA$401,$BD$4:$BD$401))</f>
        <v>278</v>
      </c>
      <c r="AX22" s="287" t="str">
        <f t="shared" si="6"/>
        <v>DER</v>
      </c>
      <c r="BA22" s="344" t="s">
        <v>115</v>
      </c>
      <c r="BB22" s="289" t="s">
        <v>1010</v>
      </c>
      <c r="BC22" s="290">
        <f>COUNTIF(BA$4:BA22,BA22)</f>
        <v>2</v>
      </c>
      <c r="BD22" s="290">
        <f>ROW()</f>
        <v>22</v>
      </c>
      <c r="BE22" s="290">
        <f t="shared" si="1"/>
        <v>1</v>
      </c>
      <c r="BG22" t="s">
        <v>136</v>
      </c>
      <c r="BH22">
        <f t="shared" si="2"/>
        <v>1</v>
      </c>
    </row>
    <row r="23" spans="2:60" x14ac:dyDescent="0.25">
      <c r="B23" s="120">
        <v>22</v>
      </c>
      <c r="C23" s="86"/>
      <c r="D23" s="86"/>
      <c r="E23" s="86"/>
      <c r="F23" s="120" t="s">
        <v>98</v>
      </c>
      <c r="G23" s="86"/>
      <c r="H23" s="86"/>
      <c r="I23" s="86"/>
      <c r="J23" s="86"/>
      <c r="K23" s="86"/>
      <c r="L23" s="86"/>
      <c r="M23" s="86"/>
      <c r="N23" s="86"/>
      <c r="O23" s="86"/>
      <c r="P23" s="86"/>
      <c r="Q23" s="117"/>
      <c r="R23" s="86"/>
      <c r="S23" s="117"/>
      <c r="T23" s="117"/>
      <c r="U23" s="86"/>
      <c r="V23" s="125" t="s">
        <v>97</v>
      </c>
      <c r="W23" s="117"/>
      <c r="X23" s="117" t="s">
        <v>841</v>
      </c>
      <c r="Y23" s="117">
        <v>321</v>
      </c>
      <c r="AL23">
        <v>20</v>
      </c>
      <c r="AM23">
        <f t="shared" si="0"/>
        <v>1</v>
      </c>
      <c r="AN23" s="287">
        <v>18</v>
      </c>
      <c r="AO23" s="287" t="s">
        <v>677</v>
      </c>
      <c r="AP23" s="287" t="s">
        <v>678</v>
      </c>
      <c r="AQ23" s="287" t="s">
        <v>82</v>
      </c>
      <c r="AR23" s="288" t="s">
        <v>638</v>
      </c>
      <c r="AS23" s="287" t="s">
        <v>946</v>
      </c>
      <c r="AT23" s="287" t="str">
        <f t="shared" si="5"/>
        <v>BB6:BB9</v>
      </c>
      <c r="AU23" s="288">
        <f>ROW()</f>
        <v>23</v>
      </c>
      <c r="AV23" s="288">
        <f t="array" ref="AV23">MINA(IF(AQ23=$BA$4:$BA$401,$BD$4:$BD$401))</f>
        <v>6</v>
      </c>
      <c r="AW23" s="288">
        <f t="array" ref="AW23">MAXA(IF(AQ23=$BA$4:$BA$401,$BD$4:$BD$401))</f>
        <v>9</v>
      </c>
      <c r="AX23" s="287" t="str">
        <f t="shared" si="6"/>
        <v>DIS</v>
      </c>
      <c r="BA23" s="344" t="s">
        <v>231</v>
      </c>
      <c r="BB23" s="289" t="s">
        <v>1011</v>
      </c>
      <c r="BC23" s="290">
        <f>COUNTIF(BA$4:BA23,BA23)</f>
        <v>1</v>
      </c>
      <c r="BD23" s="290">
        <f>ROW()</f>
        <v>23</v>
      </c>
      <c r="BE23" s="290">
        <f t="shared" si="1"/>
        <v>1</v>
      </c>
      <c r="BG23" t="s">
        <v>196</v>
      </c>
      <c r="BH23">
        <f t="shared" si="2"/>
        <v>1</v>
      </c>
    </row>
    <row r="24" spans="2:60" x14ac:dyDescent="0.25">
      <c r="B24" s="120">
        <v>23</v>
      </c>
      <c r="C24" s="86"/>
      <c r="D24" s="86"/>
      <c r="E24" s="86"/>
      <c r="F24" s="120" t="s">
        <v>102</v>
      </c>
      <c r="G24" s="86"/>
      <c r="H24" s="86"/>
      <c r="I24" s="86"/>
      <c r="J24" s="86"/>
      <c r="K24" s="86"/>
      <c r="L24" s="86"/>
      <c r="M24" s="86"/>
      <c r="N24" s="86"/>
      <c r="O24" s="86"/>
      <c r="P24" s="86"/>
      <c r="Q24" s="117"/>
      <c r="R24" s="86"/>
      <c r="S24" s="117"/>
      <c r="T24" s="117"/>
      <c r="U24" s="86"/>
      <c r="V24" s="125" t="s">
        <v>37</v>
      </c>
      <c r="W24" s="117"/>
      <c r="X24" s="117" t="s">
        <v>842</v>
      </c>
      <c r="Y24" s="117">
        <v>322</v>
      </c>
      <c r="AL24">
        <v>21</v>
      </c>
      <c r="AM24">
        <f t="shared" si="0"/>
        <v>1</v>
      </c>
      <c r="AN24" s="287">
        <v>19</v>
      </c>
      <c r="AO24" s="287" t="s">
        <v>677</v>
      </c>
      <c r="AP24" s="287" t="s">
        <v>138</v>
      </c>
      <c r="AQ24" s="287" t="s">
        <v>588</v>
      </c>
      <c r="AR24" s="288" t="s">
        <v>676</v>
      </c>
      <c r="AS24" s="287" t="s">
        <v>947</v>
      </c>
      <c r="AT24" s="287" t="str">
        <f t="shared" si="5"/>
        <v>BB25:BB25</v>
      </c>
      <c r="AU24" s="288">
        <f>ROW()</f>
        <v>24</v>
      </c>
      <c r="AV24" s="288">
        <f t="array" ref="AV24">MINA(IF(AQ24=$BA$4:$BA$401,$BD$4:$BD$401))</f>
        <v>25</v>
      </c>
      <c r="AW24" s="288">
        <f t="array" ref="AW24">MAXA(IF(AQ24=$BA$4:$BA$401,$BD$4:$BD$401))</f>
        <v>25</v>
      </c>
      <c r="AX24" s="287" t="str">
        <f t="shared" si="6"/>
        <v>DIS</v>
      </c>
      <c r="BA24" s="344" t="s">
        <v>231</v>
      </c>
      <c r="BB24" s="289" t="s">
        <v>230</v>
      </c>
      <c r="BC24" s="290">
        <f>COUNTIF(BA$4:BA24,BA24)</f>
        <v>2</v>
      </c>
      <c r="BD24" s="290">
        <f>ROW()</f>
        <v>24</v>
      </c>
      <c r="BE24" s="290">
        <f t="shared" si="1"/>
        <v>1</v>
      </c>
      <c r="BG24" t="s">
        <v>141</v>
      </c>
      <c r="BH24">
        <f t="shared" si="2"/>
        <v>1</v>
      </c>
    </row>
    <row r="25" spans="2:60" x14ac:dyDescent="0.25">
      <c r="B25" s="120">
        <v>24</v>
      </c>
      <c r="C25" s="86"/>
      <c r="D25" s="86"/>
      <c r="E25" s="86"/>
      <c r="F25" s="120" t="s">
        <v>103</v>
      </c>
      <c r="G25" s="86"/>
      <c r="I25" s="86"/>
      <c r="J25" s="86"/>
      <c r="K25" s="86"/>
      <c r="L25" s="86"/>
      <c r="M25" s="86"/>
      <c r="N25" s="86"/>
      <c r="O25" s="86"/>
      <c r="P25" s="86"/>
      <c r="Q25" s="117"/>
      <c r="R25" s="86"/>
      <c r="S25" s="117"/>
      <c r="T25" s="117"/>
      <c r="U25" s="86"/>
      <c r="V25" s="117"/>
      <c r="W25" s="117"/>
      <c r="X25" s="117" t="s">
        <v>843</v>
      </c>
      <c r="Y25" s="117">
        <v>411</v>
      </c>
      <c r="AL25">
        <v>22</v>
      </c>
      <c r="AM25">
        <f t="shared" si="0"/>
        <v>1</v>
      </c>
      <c r="AN25" s="287">
        <v>20</v>
      </c>
      <c r="AO25" s="287" t="s">
        <v>677</v>
      </c>
      <c r="AP25" s="287" t="s">
        <v>679</v>
      </c>
      <c r="AQ25" s="287" t="s">
        <v>154</v>
      </c>
      <c r="AR25" s="288" t="s">
        <v>639</v>
      </c>
      <c r="AS25" s="287" t="s">
        <v>948</v>
      </c>
      <c r="AT25" s="287" t="str">
        <f t="shared" si="5"/>
        <v>BB69:BB72</v>
      </c>
      <c r="AU25" s="288">
        <f>ROW()</f>
        <v>25</v>
      </c>
      <c r="AV25" s="288">
        <f t="array" ref="AV25">MINA(IF(AQ25=$BA$4:$BA$401,$BD$4:$BD$401))</f>
        <v>69</v>
      </c>
      <c r="AW25" s="288">
        <f t="array" ref="AW25">MAXA(IF(AQ25=$BA$4:$BA$401,$BD$4:$BD$401))</f>
        <v>72</v>
      </c>
      <c r="AX25" s="287" t="str">
        <f t="shared" si="6"/>
        <v>DIS</v>
      </c>
      <c r="BA25" s="344" t="s">
        <v>588</v>
      </c>
      <c r="BB25" s="289" t="s">
        <v>1012</v>
      </c>
      <c r="BC25" s="290">
        <f>COUNTIF(BA$4:BA25,BA25)</f>
        <v>1</v>
      </c>
      <c r="BD25" s="290">
        <f>ROW()</f>
        <v>25</v>
      </c>
      <c r="BE25" s="290">
        <f t="shared" si="1"/>
        <v>1</v>
      </c>
      <c r="BG25" t="s">
        <v>144</v>
      </c>
      <c r="BH25">
        <f t="shared" si="2"/>
        <v>1</v>
      </c>
    </row>
    <row r="26" spans="2:60" x14ac:dyDescent="0.25">
      <c r="B26" s="120">
        <v>25</v>
      </c>
      <c r="C26" s="86"/>
      <c r="D26" s="86"/>
      <c r="E26" s="86"/>
      <c r="F26" s="120" t="s">
        <v>107</v>
      </c>
      <c r="G26" s="86"/>
      <c r="H26" s="86"/>
      <c r="I26" s="86"/>
      <c r="J26" s="86"/>
      <c r="K26" s="86"/>
      <c r="L26" s="86"/>
      <c r="M26" s="86"/>
      <c r="N26" s="86"/>
      <c r="O26" s="86"/>
      <c r="P26" s="86"/>
      <c r="Q26" s="117"/>
      <c r="R26" s="86"/>
      <c r="S26" s="117"/>
      <c r="T26" s="117"/>
      <c r="U26" s="86"/>
      <c r="V26" s="117"/>
      <c r="W26" s="117"/>
      <c r="X26" s="117" t="s">
        <v>844</v>
      </c>
      <c r="Y26" s="117">
        <v>412</v>
      </c>
      <c r="AL26">
        <v>23</v>
      </c>
      <c r="AM26">
        <f t="shared" si="0"/>
        <v>1</v>
      </c>
      <c r="AN26" s="287">
        <v>21</v>
      </c>
      <c r="AO26" s="287" t="s">
        <v>677</v>
      </c>
      <c r="AP26" s="287" t="s">
        <v>680</v>
      </c>
      <c r="AQ26" s="287" t="s">
        <v>156</v>
      </c>
      <c r="AR26" s="288" t="s">
        <v>32</v>
      </c>
      <c r="AS26" s="287" t="s">
        <v>949</v>
      </c>
      <c r="AT26" s="287" t="str">
        <f t="shared" si="5"/>
        <v>BB79:BB84</v>
      </c>
      <c r="AU26" s="288">
        <f>ROW()</f>
        <v>26</v>
      </c>
      <c r="AV26" s="288">
        <f t="array" ref="AV26">MINA(IF(AQ26=$BA$4:$BA$401,$BD$4:$BD$401))</f>
        <v>79</v>
      </c>
      <c r="AW26" s="288">
        <f t="array" ref="AW26">MAXA(IF(AQ26=$BA$4:$BA$401,$BD$4:$BD$401))</f>
        <v>84</v>
      </c>
      <c r="AX26" s="287" t="str">
        <f t="shared" si="6"/>
        <v>DIS</v>
      </c>
      <c r="BA26" s="344" t="s">
        <v>121</v>
      </c>
      <c r="BB26" s="289" t="s">
        <v>1013</v>
      </c>
      <c r="BC26" s="290">
        <f>COUNTIF(BA$4:BA26,BA26)</f>
        <v>1</v>
      </c>
      <c r="BD26" s="290">
        <f>ROW()</f>
        <v>26</v>
      </c>
      <c r="BE26" s="290">
        <f t="shared" si="1"/>
        <v>1</v>
      </c>
      <c r="BG26" t="s">
        <v>183</v>
      </c>
      <c r="BH26">
        <f t="shared" si="2"/>
        <v>1</v>
      </c>
    </row>
    <row r="27" spans="2:60" x14ac:dyDescent="0.25">
      <c r="B27" s="120">
        <v>26</v>
      </c>
      <c r="C27" s="86"/>
      <c r="D27" s="86"/>
      <c r="E27" s="86"/>
      <c r="F27" s="120" t="s">
        <v>109</v>
      </c>
      <c r="G27" s="86"/>
      <c r="H27" s="86"/>
      <c r="I27" s="86"/>
      <c r="J27" s="86"/>
      <c r="K27" s="86"/>
      <c r="L27" s="86"/>
      <c r="M27" s="86"/>
      <c r="N27" s="86"/>
      <c r="O27" s="86"/>
      <c r="P27" s="86"/>
      <c r="Q27" s="117"/>
      <c r="R27" s="86"/>
      <c r="S27" s="117"/>
      <c r="T27" s="117"/>
      <c r="U27" s="86"/>
      <c r="V27" s="117"/>
      <c r="W27" s="117"/>
      <c r="X27" s="117" t="s">
        <v>845</v>
      </c>
      <c r="Y27" s="117">
        <v>413</v>
      </c>
      <c r="AL27">
        <v>24</v>
      </c>
      <c r="AM27">
        <f t="shared" si="0"/>
        <v>1</v>
      </c>
      <c r="AN27" s="287">
        <v>22</v>
      </c>
      <c r="AO27" s="287" t="s">
        <v>677</v>
      </c>
      <c r="AP27" s="287" t="s">
        <v>125</v>
      </c>
      <c r="AQ27" s="287" t="s">
        <v>183</v>
      </c>
      <c r="AR27" s="288" t="s">
        <v>32</v>
      </c>
      <c r="AS27" s="287" t="s">
        <v>950</v>
      </c>
      <c r="AT27" s="287" t="str">
        <f t="shared" si="5"/>
        <v>BB162:BB164</v>
      </c>
      <c r="AU27" s="288">
        <f>ROW()</f>
        <v>27</v>
      </c>
      <c r="AV27" s="288">
        <f t="array" ref="AV27">MINA(IF(AQ27=$BA$4:$BA$401,$BD$4:$BD$401))</f>
        <v>162</v>
      </c>
      <c r="AW27" s="288">
        <f t="array" ref="AW27">MAXA(IF(AQ27=$BA$4:$BA$401,$BD$4:$BD$401))</f>
        <v>164</v>
      </c>
      <c r="AX27" s="287" t="str">
        <f t="shared" si="6"/>
        <v>DIS</v>
      </c>
      <c r="BA27" s="344" t="s">
        <v>121</v>
      </c>
      <c r="BB27" s="289" t="s">
        <v>1014</v>
      </c>
      <c r="BC27" s="290">
        <f>COUNTIF(BA$4:BA27,BA27)</f>
        <v>2</v>
      </c>
      <c r="BD27" s="290">
        <f>ROW()</f>
        <v>27</v>
      </c>
      <c r="BE27" s="290">
        <f t="shared" si="1"/>
        <v>1</v>
      </c>
      <c r="BG27" t="s">
        <v>200</v>
      </c>
      <c r="BH27">
        <f t="shared" si="2"/>
        <v>1</v>
      </c>
    </row>
    <row r="28" spans="2:60" x14ac:dyDescent="0.25">
      <c r="B28" s="120">
        <v>27</v>
      </c>
      <c r="C28" s="86"/>
      <c r="D28" s="86"/>
      <c r="E28" s="86"/>
      <c r="F28" s="120" t="s">
        <v>111</v>
      </c>
      <c r="G28" s="86"/>
      <c r="H28" s="86"/>
      <c r="I28" s="86"/>
      <c r="J28" s="86"/>
      <c r="K28" s="86"/>
      <c r="L28" s="86"/>
      <c r="M28" s="86"/>
      <c r="N28" s="86"/>
      <c r="O28" s="86"/>
      <c r="P28" s="86"/>
      <c r="Q28" s="117"/>
      <c r="R28" s="86"/>
      <c r="S28" s="117"/>
      <c r="T28" s="117"/>
      <c r="U28" s="86"/>
      <c r="V28" s="117"/>
      <c r="W28" s="117"/>
      <c r="X28" s="117" t="s">
        <v>846</v>
      </c>
      <c r="Y28" s="117">
        <v>414</v>
      </c>
      <c r="AL28">
        <v>25</v>
      </c>
      <c r="AM28">
        <f t="shared" si="0"/>
        <v>1</v>
      </c>
      <c r="AN28" s="287">
        <v>23</v>
      </c>
      <c r="AO28" s="287" t="s">
        <v>677</v>
      </c>
      <c r="AP28" s="287" t="s">
        <v>84</v>
      </c>
      <c r="AQ28" s="287" t="s">
        <v>140</v>
      </c>
      <c r="AR28" s="288" t="s">
        <v>32</v>
      </c>
      <c r="AS28" s="287" t="s">
        <v>951</v>
      </c>
      <c r="AT28" s="287" t="str">
        <f t="shared" si="5"/>
        <v>BB259:BB259</v>
      </c>
      <c r="AU28" s="288">
        <f>ROW()</f>
        <v>28</v>
      </c>
      <c r="AV28" s="288">
        <f t="array" ref="AV28">MINA(IF(AQ28=$BA$4:$BA$401,$BD$4:$BD$401))</f>
        <v>259</v>
      </c>
      <c r="AW28" s="288">
        <f t="array" ref="AW28">MAXA(IF(AQ28=$BA$4:$BA$401,$BD$4:$BD$401))</f>
        <v>259</v>
      </c>
      <c r="AX28" s="287" t="str">
        <f t="shared" si="6"/>
        <v>DIS</v>
      </c>
      <c r="BA28" s="344" t="s">
        <v>124</v>
      </c>
      <c r="BB28" s="289" t="s">
        <v>1015</v>
      </c>
      <c r="BC28" s="290">
        <f>COUNTIF(BA$4:BA28,BA28)</f>
        <v>1</v>
      </c>
      <c r="BD28" s="290">
        <f>ROW()</f>
        <v>28</v>
      </c>
      <c r="BE28" s="290">
        <f t="shared" si="1"/>
        <v>1</v>
      </c>
      <c r="BG28" t="s">
        <v>155</v>
      </c>
      <c r="BH28">
        <f t="shared" si="2"/>
        <v>1</v>
      </c>
    </row>
    <row r="29" spans="2:60" x14ac:dyDescent="0.25">
      <c r="B29" s="120">
        <v>28</v>
      </c>
      <c r="C29" s="86"/>
      <c r="D29" s="86"/>
      <c r="E29" s="86"/>
      <c r="F29" s="120" t="s">
        <v>112</v>
      </c>
      <c r="G29" s="86"/>
      <c r="H29" s="86"/>
      <c r="I29" s="86"/>
      <c r="J29" s="86"/>
      <c r="K29" s="86"/>
      <c r="L29" s="86"/>
      <c r="M29" s="86"/>
      <c r="N29" s="86"/>
      <c r="O29" s="86"/>
      <c r="P29" s="86"/>
      <c r="Q29" s="117"/>
      <c r="R29" s="86"/>
      <c r="S29" s="117"/>
      <c r="T29" s="117"/>
      <c r="U29" s="86"/>
      <c r="V29" s="117"/>
      <c r="W29" s="117"/>
      <c r="X29" s="117" t="s">
        <v>847</v>
      </c>
      <c r="Y29" s="117">
        <v>415</v>
      </c>
      <c r="AL29">
        <v>26</v>
      </c>
      <c r="AM29">
        <f t="shared" si="0"/>
        <v>1</v>
      </c>
      <c r="AN29" s="287">
        <v>24</v>
      </c>
      <c r="AO29" s="287" t="s">
        <v>677</v>
      </c>
      <c r="AP29" s="287" t="s">
        <v>150</v>
      </c>
      <c r="AQ29" s="287" t="s">
        <v>590</v>
      </c>
      <c r="AR29" s="288" t="s">
        <v>676</v>
      </c>
      <c r="AS29" s="287" t="s">
        <v>952</v>
      </c>
      <c r="AT29" s="287" t="str">
        <f t="shared" si="5"/>
        <v>BB270:BB272</v>
      </c>
      <c r="AU29" s="288">
        <f>ROW()</f>
        <v>29</v>
      </c>
      <c r="AV29" s="288">
        <f t="array" ref="AV29">MINA(IF(AQ29=$BA$4:$BA$401,$BD$4:$BD$401))</f>
        <v>270</v>
      </c>
      <c r="AW29" s="288">
        <f t="array" ref="AW29">MAXA(IF(AQ29=$BA$4:$BA$401,$BD$4:$BD$401))</f>
        <v>272</v>
      </c>
      <c r="AX29" s="287" t="str">
        <f t="shared" si="6"/>
        <v>DIS</v>
      </c>
      <c r="BA29" s="344" t="s">
        <v>124</v>
      </c>
      <c r="BB29" s="289" t="s">
        <v>1016</v>
      </c>
      <c r="BC29" s="290">
        <f>COUNTIF(BA$4:BA29,BA29)</f>
        <v>2</v>
      </c>
      <c r="BD29" s="290">
        <f>ROW()</f>
        <v>29</v>
      </c>
      <c r="BE29" s="290">
        <f t="shared" si="1"/>
        <v>1</v>
      </c>
      <c r="BG29" t="s">
        <v>156</v>
      </c>
      <c r="BH29">
        <f t="shared" si="2"/>
        <v>1</v>
      </c>
    </row>
    <row r="30" spans="2:60" x14ac:dyDescent="0.25">
      <c r="B30" s="120">
        <v>29</v>
      </c>
      <c r="C30" s="86"/>
      <c r="D30" s="86"/>
      <c r="E30" s="86"/>
      <c r="F30" s="120" t="s">
        <v>113</v>
      </c>
      <c r="G30" s="86"/>
      <c r="H30" s="86"/>
      <c r="I30" s="86"/>
      <c r="J30" s="86"/>
      <c r="K30" s="86"/>
      <c r="L30" s="86"/>
      <c r="M30" s="86"/>
      <c r="N30" s="86"/>
      <c r="O30" s="86"/>
      <c r="P30" s="86"/>
      <c r="Q30" s="117"/>
      <c r="R30" s="86"/>
      <c r="S30" s="117"/>
      <c r="T30" s="117"/>
      <c r="U30" s="86"/>
      <c r="V30" s="117"/>
      <c r="W30" s="117"/>
      <c r="X30" s="117" t="s">
        <v>848</v>
      </c>
      <c r="Y30" s="117">
        <v>416</v>
      </c>
      <c r="AL30">
        <v>27</v>
      </c>
      <c r="AM30">
        <f t="shared" si="0"/>
        <v>1</v>
      </c>
      <c r="AN30" s="287">
        <v>25</v>
      </c>
      <c r="AO30" s="287" t="s">
        <v>681</v>
      </c>
      <c r="AP30" s="287" t="s">
        <v>682</v>
      </c>
      <c r="AQ30" s="287" t="s">
        <v>136</v>
      </c>
      <c r="AR30" s="288" t="s">
        <v>32</v>
      </c>
      <c r="AS30" s="287" t="s">
        <v>953</v>
      </c>
      <c r="AT30" s="287" t="str">
        <f t="shared" si="5"/>
        <v>BB43:BB45</v>
      </c>
      <c r="AU30" s="288">
        <f>ROW()</f>
        <v>30</v>
      </c>
      <c r="AV30" s="288">
        <f t="array" ref="AV30">MINA(IF(AQ30=$BA$4:$BA$401,$BD$4:$BD$401))</f>
        <v>43</v>
      </c>
      <c r="AW30" s="288">
        <f t="array" ref="AW30">MAXA(IF(AQ30=$BA$4:$BA$401,$BD$4:$BD$401))</f>
        <v>45</v>
      </c>
      <c r="AX30" s="287" t="str">
        <f t="shared" si="6"/>
        <v>ECO</v>
      </c>
      <c r="BA30" s="344" t="s">
        <v>124</v>
      </c>
      <c r="BB30" s="289" t="s">
        <v>1017</v>
      </c>
      <c r="BC30" s="290">
        <f>COUNTIF(BA$4:BA30,BA30)</f>
        <v>3</v>
      </c>
      <c r="BD30" s="290">
        <f>ROW()</f>
        <v>30</v>
      </c>
      <c r="BE30" s="290">
        <f t="shared" si="1"/>
        <v>1</v>
      </c>
      <c r="BG30" t="s">
        <v>203</v>
      </c>
      <c r="BH30">
        <f t="shared" si="2"/>
        <v>1</v>
      </c>
    </row>
    <row r="31" spans="2:60" x14ac:dyDescent="0.25">
      <c r="B31" s="120">
        <v>30</v>
      </c>
      <c r="C31" s="86"/>
      <c r="D31" s="86"/>
      <c r="E31" s="86"/>
      <c r="F31" s="120" t="s">
        <v>114</v>
      </c>
      <c r="G31" s="86"/>
      <c r="H31" s="86"/>
      <c r="I31" s="86"/>
      <c r="J31" s="86"/>
      <c r="K31" s="86"/>
      <c r="L31" s="86"/>
      <c r="M31" s="86"/>
      <c r="N31" s="86"/>
      <c r="O31" s="86"/>
      <c r="P31" s="86"/>
      <c r="Q31" s="117"/>
      <c r="R31" s="86"/>
      <c r="S31" s="117"/>
      <c r="T31" s="117"/>
      <c r="U31" s="86"/>
      <c r="V31" s="117"/>
      <c r="W31" s="117"/>
      <c r="X31" s="117" t="s">
        <v>849</v>
      </c>
      <c r="Y31" s="117">
        <v>417</v>
      </c>
      <c r="AL31">
        <v>28</v>
      </c>
      <c r="AM31">
        <f t="shared" si="0"/>
        <v>1</v>
      </c>
      <c r="AN31" s="287">
        <v>26</v>
      </c>
      <c r="AO31" s="287" t="s">
        <v>681</v>
      </c>
      <c r="AP31" s="287" t="s">
        <v>95</v>
      </c>
      <c r="AQ31" s="287" t="s">
        <v>146</v>
      </c>
      <c r="AR31" s="288" t="s">
        <v>32</v>
      </c>
      <c r="AS31" s="287" t="s">
        <v>954</v>
      </c>
      <c r="AT31" s="287" t="str">
        <f t="shared" si="5"/>
        <v>BB61:BB63</v>
      </c>
      <c r="AU31" s="288">
        <f>ROW()</f>
        <v>31</v>
      </c>
      <c r="AV31" s="288">
        <f t="array" ref="AV31">MINA(IF(AQ31=$BA$4:$BA$401,$BD$4:$BD$401))</f>
        <v>61</v>
      </c>
      <c r="AW31" s="288">
        <f t="array" ref="AW31">MAXA(IF(AQ31=$BA$4:$BA$401,$BD$4:$BD$401))</f>
        <v>63</v>
      </c>
      <c r="AX31" s="287" t="str">
        <f t="shared" si="6"/>
        <v>ECO</v>
      </c>
      <c r="BA31" s="344" t="s">
        <v>124</v>
      </c>
      <c r="BB31" s="289" t="s">
        <v>1018</v>
      </c>
      <c r="BC31" s="290">
        <f>COUNTIF(BA$4:BA31,BA31)</f>
        <v>4</v>
      </c>
      <c r="BD31" s="290">
        <f>ROW()</f>
        <v>31</v>
      </c>
      <c r="BE31" s="290">
        <f t="shared" si="1"/>
        <v>1</v>
      </c>
      <c r="BG31" t="s">
        <v>140</v>
      </c>
      <c r="BH31">
        <f t="shared" si="2"/>
        <v>1</v>
      </c>
    </row>
    <row r="32" spans="2:60" x14ac:dyDescent="0.25">
      <c r="B32" s="120">
        <v>31</v>
      </c>
      <c r="C32" s="86"/>
      <c r="D32" s="86"/>
      <c r="E32" s="86"/>
      <c r="F32" s="120" t="s">
        <v>117</v>
      </c>
      <c r="G32" s="86"/>
      <c r="H32" s="86"/>
      <c r="I32" s="86"/>
      <c r="J32" s="86"/>
      <c r="K32" s="86"/>
      <c r="L32" s="86"/>
      <c r="M32" s="86"/>
      <c r="N32" s="86"/>
      <c r="O32" s="86"/>
      <c r="P32" s="86"/>
      <c r="Q32" s="117"/>
      <c r="R32" s="86"/>
      <c r="S32" s="117"/>
      <c r="T32" s="117"/>
      <c r="U32" s="86"/>
      <c r="V32" s="117"/>
      <c r="W32" s="117"/>
      <c r="X32" s="117" t="s">
        <v>26</v>
      </c>
      <c r="Y32" s="117">
        <v>421</v>
      </c>
      <c r="AL32">
        <v>29</v>
      </c>
      <c r="AM32">
        <f t="shared" si="0"/>
        <v>1</v>
      </c>
      <c r="AN32" s="287">
        <v>27</v>
      </c>
      <c r="AO32" s="287" t="s">
        <v>681</v>
      </c>
      <c r="AP32" s="287" t="s">
        <v>955</v>
      </c>
      <c r="AQ32" s="287" t="s">
        <v>184</v>
      </c>
      <c r="AR32" s="288" t="s">
        <v>22</v>
      </c>
      <c r="AS32" s="287" t="s">
        <v>956</v>
      </c>
      <c r="AT32" s="287" t="str">
        <f t="shared" si="5"/>
        <v>BB165:BB166</v>
      </c>
      <c r="AU32" s="288">
        <f>ROW()</f>
        <v>32</v>
      </c>
      <c r="AV32" s="288">
        <f t="array" ref="AV32">MINA(IF(AQ32=$BA$4:$BA$401,$BD$4:$BD$401))</f>
        <v>165</v>
      </c>
      <c r="AW32" s="288">
        <f t="array" ref="AW32">MAXA(IF(AQ32=$BA$4:$BA$401,$BD$4:$BD$401))</f>
        <v>166</v>
      </c>
      <c r="AX32" s="287" t="str">
        <f t="shared" si="6"/>
        <v>ECO</v>
      </c>
      <c r="BA32" s="344" t="s">
        <v>124</v>
      </c>
      <c r="BB32" s="289" t="s">
        <v>1019</v>
      </c>
      <c r="BC32" s="290">
        <f>COUNTIF(BA$4:BA32,BA32)</f>
        <v>5</v>
      </c>
      <c r="BD32" s="290">
        <f>ROW()</f>
        <v>32</v>
      </c>
      <c r="BE32" s="290">
        <f t="shared" si="1"/>
        <v>1</v>
      </c>
      <c r="BG32" t="s">
        <v>185</v>
      </c>
      <c r="BH32">
        <f t="shared" si="2"/>
        <v>1</v>
      </c>
    </row>
    <row r="33" spans="2:60" x14ac:dyDescent="0.25">
      <c r="B33" s="120">
        <v>32</v>
      </c>
      <c r="C33" s="86"/>
      <c r="D33" s="86"/>
      <c r="E33" s="86"/>
      <c r="F33" s="120" t="s">
        <v>119</v>
      </c>
      <c r="G33" s="86"/>
      <c r="H33" s="86"/>
      <c r="I33" s="86"/>
      <c r="J33" s="86"/>
      <c r="K33" s="86"/>
      <c r="L33" s="86"/>
      <c r="M33" s="86"/>
      <c r="N33" s="86"/>
      <c r="O33" s="86"/>
      <c r="P33" s="86"/>
      <c r="Q33" s="117"/>
      <c r="R33" s="86"/>
      <c r="S33" s="117"/>
      <c r="T33" s="117"/>
      <c r="U33" s="86"/>
      <c r="V33" s="117"/>
      <c r="W33" s="117"/>
      <c r="X33" s="117" t="s">
        <v>850</v>
      </c>
      <c r="Y33" s="117">
        <v>511</v>
      </c>
      <c r="AL33">
        <v>30</v>
      </c>
      <c r="AM33">
        <f t="shared" si="0"/>
        <v>1</v>
      </c>
      <c r="AN33" s="287">
        <v>28</v>
      </c>
      <c r="AO33" s="287" t="s">
        <v>681</v>
      </c>
      <c r="AP33" s="287" t="s">
        <v>683</v>
      </c>
      <c r="AQ33" s="287" t="s">
        <v>594</v>
      </c>
      <c r="AR33" s="288" t="s">
        <v>638</v>
      </c>
      <c r="AS33" s="287" t="s">
        <v>957</v>
      </c>
      <c r="AT33" s="287" t="str">
        <f t="shared" si="5"/>
        <v>BB264:BB265</v>
      </c>
      <c r="AU33" s="288">
        <f>ROW()</f>
        <v>33</v>
      </c>
      <c r="AV33" s="288">
        <f t="array" ref="AV33">MINA(IF(AQ33=$BA$4:$BA$401,$BD$4:$BD$401))</f>
        <v>264</v>
      </c>
      <c r="AW33" s="288">
        <f t="array" ref="AW33">MAXA(IF(AQ33=$BA$4:$BA$401,$BD$4:$BD$401))</f>
        <v>265</v>
      </c>
      <c r="AX33" s="287" t="str">
        <f t="shared" si="6"/>
        <v>ECO</v>
      </c>
      <c r="BA33" s="344" t="s">
        <v>126</v>
      </c>
      <c r="BB33" s="289" t="s">
        <v>1020</v>
      </c>
      <c r="BC33" s="290">
        <f>COUNTIF(BA$4:BA33,BA33)</f>
        <v>1</v>
      </c>
      <c r="BD33" s="290">
        <f>ROW()</f>
        <v>33</v>
      </c>
      <c r="BE33" s="290">
        <f t="shared" si="1"/>
        <v>1</v>
      </c>
      <c r="BG33" t="s">
        <v>219</v>
      </c>
      <c r="BH33">
        <f t="shared" si="2"/>
        <v>1</v>
      </c>
    </row>
    <row r="34" spans="2:60" x14ac:dyDescent="0.25">
      <c r="B34" s="120">
        <v>33</v>
      </c>
      <c r="C34" s="86"/>
      <c r="D34" s="86"/>
      <c r="E34" s="86"/>
      <c r="F34" s="120" t="s">
        <v>120</v>
      </c>
      <c r="G34" s="86"/>
      <c r="H34" s="86"/>
      <c r="I34" s="86"/>
      <c r="J34" s="86"/>
      <c r="K34" s="86"/>
      <c r="L34" s="86"/>
      <c r="M34" s="86"/>
      <c r="N34" s="86"/>
      <c r="O34" s="86"/>
      <c r="P34" s="86"/>
      <c r="Q34" s="117"/>
      <c r="R34" s="86"/>
      <c r="S34" s="117"/>
      <c r="T34" s="117"/>
      <c r="U34" s="86"/>
      <c r="V34" s="117"/>
      <c r="W34" s="117"/>
      <c r="X34" s="117" t="s">
        <v>763</v>
      </c>
      <c r="Y34" s="117">
        <v>512</v>
      </c>
      <c r="AL34">
        <v>31</v>
      </c>
      <c r="AM34">
        <f t="shared" si="0"/>
        <v>1</v>
      </c>
      <c r="AN34" s="287">
        <v>29</v>
      </c>
      <c r="AO34" s="287" t="s">
        <v>684</v>
      </c>
      <c r="AP34" s="287" t="s">
        <v>106</v>
      </c>
      <c r="AQ34" s="287" t="s">
        <v>155</v>
      </c>
      <c r="AR34" s="288" t="s">
        <v>32</v>
      </c>
      <c r="AS34" s="287" t="s">
        <v>958</v>
      </c>
      <c r="AT34" s="287" t="str">
        <f t="shared" si="5"/>
        <v>BB73:BB78</v>
      </c>
      <c r="AU34" s="288">
        <f>ROW()</f>
        <v>34</v>
      </c>
      <c r="AV34" s="288">
        <f t="array" ref="AV34">MINA(IF(AQ34=$BA$4:$BA$401,$BD$4:$BD$401))</f>
        <v>73</v>
      </c>
      <c r="AW34" s="288">
        <f t="array" ref="AW34">MAXA(IF(AQ34=$BA$4:$BA$401,$BD$4:$BD$401))</f>
        <v>78</v>
      </c>
      <c r="AX34" s="287" t="str">
        <f t="shared" si="6"/>
        <v>EES</v>
      </c>
      <c r="BA34" s="344" t="s">
        <v>126</v>
      </c>
      <c r="BB34" s="289" t="s">
        <v>1021</v>
      </c>
      <c r="BC34" s="290">
        <f>COUNTIF(BA$4:BA34,BA34)</f>
        <v>2</v>
      </c>
      <c r="BD34" s="290">
        <f>ROW()</f>
        <v>34</v>
      </c>
      <c r="BE34" s="290">
        <f t="shared" si="1"/>
        <v>1</v>
      </c>
      <c r="BG34" t="s">
        <v>82</v>
      </c>
      <c r="BH34">
        <f t="shared" si="2"/>
        <v>1</v>
      </c>
    </row>
    <row r="35" spans="2:60" x14ac:dyDescent="0.25">
      <c r="B35" s="120">
        <v>34</v>
      </c>
      <c r="C35" s="86"/>
      <c r="D35" s="86"/>
      <c r="E35" s="86"/>
      <c r="F35" s="120" t="s">
        <v>122</v>
      </c>
      <c r="G35" s="86"/>
      <c r="H35" s="86"/>
      <c r="I35" s="86"/>
      <c r="J35" s="86"/>
      <c r="K35" s="86"/>
      <c r="L35" s="86"/>
      <c r="M35" s="86"/>
      <c r="N35" s="86"/>
      <c r="O35" s="86"/>
      <c r="P35" s="86"/>
      <c r="Q35" s="117"/>
      <c r="R35" s="86"/>
      <c r="S35" s="117"/>
      <c r="T35" s="117"/>
      <c r="U35" s="86"/>
      <c r="V35" s="117"/>
      <c r="W35" s="117"/>
      <c r="X35" s="117" t="s">
        <v>851</v>
      </c>
      <c r="Y35" s="117">
        <v>521</v>
      </c>
      <c r="AL35">
        <v>32</v>
      </c>
      <c r="AM35">
        <f t="shared" si="0"/>
        <v>1</v>
      </c>
      <c r="AN35" s="287">
        <v>30</v>
      </c>
      <c r="AO35" s="287" t="s">
        <v>684</v>
      </c>
      <c r="AP35" s="287" t="s">
        <v>131</v>
      </c>
      <c r="AQ35" s="287" t="s">
        <v>200</v>
      </c>
      <c r="AR35" s="288" t="s">
        <v>32</v>
      </c>
      <c r="AS35" s="287" t="s">
        <v>959</v>
      </c>
      <c r="AT35" s="287" t="str">
        <f t="shared" si="5"/>
        <v>BB221:BB224</v>
      </c>
      <c r="AU35" s="288">
        <f>ROW()</f>
        <v>35</v>
      </c>
      <c r="AV35" s="288">
        <f t="array" ref="AV35">MINA(IF(AQ35=$BA$4:$BA$401,$BD$4:$BD$401))</f>
        <v>221</v>
      </c>
      <c r="AW35" s="288">
        <f t="array" ref="AW35">MAXA(IF(AQ35=$BA$4:$BA$401,$BD$4:$BD$401))</f>
        <v>224</v>
      </c>
      <c r="AX35" s="287" t="str">
        <f t="shared" si="6"/>
        <v>EES</v>
      </c>
      <c r="BA35" s="344" t="s">
        <v>126</v>
      </c>
      <c r="BB35" s="289" t="s">
        <v>1022</v>
      </c>
      <c r="BC35" s="290">
        <f>COUNTIF(BA$4:BA35,BA35)</f>
        <v>3</v>
      </c>
      <c r="BD35" s="290">
        <f>ROW()</f>
        <v>35</v>
      </c>
      <c r="BE35" s="290">
        <f t="shared" si="1"/>
        <v>1</v>
      </c>
      <c r="BG35" t="s">
        <v>187</v>
      </c>
      <c r="BH35">
        <f t="shared" si="2"/>
        <v>1</v>
      </c>
    </row>
    <row r="36" spans="2:60" x14ac:dyDescent="0.25">
      <c r="B36" s="120">
        <v>35</v>
      </c>
      <c r="C36" s="86"/>
      <c r="D36" s="86"/>
      <c r="E36" s="86"/>
      <c r="F36" s="120" t="s">
        <v>123</v>
      </c>
      <c r="G36" s="86"/>
      <c r="H36" s="86"/>
      <c r="I36" s="86"/>
      <c r="J36" s="86"/>
      <c r="K36" s="86"/>
      <c r="L36" s="86"/>
      <c r="M36" s="86"/>
      <c r="N36" s="86"/>
      <c r="O36" s="86"/>
      <c r="P36" s="86"/>
      <c r="Q36" s="117"/>
      <c r="R36" s="86"/>
      <c r="S36" s="117"/>
      <c r="T36" s="117"/>
      <c r="U36" s="86"/>
      <c r="V36" s="117"/>
      <c r="W36" s="117"/>
      <c r="X36" s="117" t="s">
        <v>852</v>
      </c>
      <c r="Y36" s="117">
        <v>522</v>
      </c>
      <c r="AL36">
        <v>33</v>
      </c>
      <c r="AM36">
        <f t="shared" ref="AM36:AM67" si="7">COUNTIF($AN$4:$AN$73,AL36)</f>
        <v>1</v>
      </c>
      <c r="AN36" s="287">
        <v>31</v>
      </c>
      <c r="AO36" s="287" t="s">
        <v>685</v>
      </c>
      <c r="AP36" s="287" t="s">
        <v>72</v>
      </c>
      <c r="AQ36" s="287" t="s">
        <v>121</v>
      </c>
      <c r="AR36" s="288" t="s">
        <v>639</v>
      </c>
      <c r="AS36" s="287" t="s">
        <v>960</v>
      </c>
      <c r="AT36" s="287" t="str">
        <f t="shared" si="5"/>
        <v>BB26:BB27</v>
      </c>
      <c r="AU36" s="288">
        <f>ROW()</f>
        <v>36</v>
      </c>
      <c r="AV36" s="288">
        <f t="array" ref="AV36">MINA(IF(AQ36=$BA$4:$BA$401,$BD$4:$BD$401))</f>
        <v>26</v>
      </c>
      <c r="AW36" s="288">
        <f t="array" ref="AW36">MAXA(IF(AQ36=$BA$4:$BA$401,$BD$4:$BD$401))</f>
        <v>27</v>
      </c>
      <c r="AX36" s="287" t="str">
        <f t="shared" si="6"/>
        <v>HUM</v>
      </c>
      <c r="BA36" s="344" t="s">
        <v>126</v>
      </c>
      <c r="BB36" s="289" t="s">
        <v>1023</v>
      </c>
      <c r="BC36" s="290">
        <f>COUNTIF(BA$4:BA36,BA36)</f>
        <v>4</v>
      </c>
      <c r="BD36" s="290">
        <f>ROW()</f>
        <v>36</v>
      </c>
      <c r="BE36" s="290">
        <f t="shared" si="1"/>
        <v>1</v>
      </c>
      <c r="BG36" t="s">
        <v>205</v>
      </c>
      <c r="BH36">
        <f t="shared" ref="BH36:BH67" si="8">COUNTIF($AQ$4:$AQ$73,BG36)</f>
        <v>1</v>
      </c>
    </row>
    <row r="37" spans="2:60" x14ac:dyDescent="0.25">
      <c r="B37" s="120">
        <v>36</v>
      </c>
      <c r="C37" s="86"/>
      <c r="D37" s="86"/>
      <c r="E37" s="86"/>
      <c r="F37" s="120"/>
      <c r="G37" s="86"/>
      <c r="H37" s="86"/>
      <c r="I37" s="86"/>
      <c r="J37" s="86"/>
      <c r="K37" s="86"/>
      <c r="L37" s="86"/>
      <c r="M37" s="86"/>
      <c r="N37" s="86"/>
      <c r="O37" s="86"/>
      <c r="P37" s="86"/>
      <c r="Q37" s="117"/>
      <c r="R37" s="86"/>
      <c r="S37" s="117"/>
      <c r="T37" s="117"/>
      <c r="U37" s="86"/>
      <c r="V37" s="117"/>
      <c r="W37" s="117"/>
      <c r="X37" s="117" t="s">
        <v>853</v>
      </c>
      <c r="Y37" s="117">
        <v>531</v>
      </c>
      <c r="AL37">
        <v>34</v>
      </c>
      <c r="AM37">
        <f t="shared" si="7"/>
        <v>1</v>
      </c>
      <c r="AN37" s="287">
        <v>32</v>
      </c>
      <c r="AO37" s="287" t="s">
        <v>685</v>
      </c>
      <c r="AP37" s="287" t="s">
        <v>110</v>
      </c>
      <c r="AQ37" s="287" t="s">
        <v>158</v>
      </c>
      <c r="AR37" s="288" t="s">
        <v>22</v>
      </c>
      <c r="AS37" s="287" t="s">
        <v>961</v>
      </c>
      <c r="AT37" s="287" t="str">
        <f t="shared" si="5"/>
        <v>BB85:BB88</v>
      </c>
      <c r="AU37" s="288">
        <f>ROW()</f>
        <v>37</v>
      </c>
      <c r="AV37" s="288">
        <f t="array" ref="AV37">MINA(IF(AQ37=$BA$4:$BA$401,$BD$4:$BD$401))</f>
        <v>85</v>
      </c>
      <c r="AW37" s="288">
        <f t="array" ref="AW37">MAXA(IF(AQ37=$BA$4:$BA$401,$BD$4:$BD$401))</f>
        <v>88</v>
      </c>
      <c r="AX37" s="287" t="str">
        <f t="shared" si="6"/>
        <v>HUM</v>
      </c>
      <c r="BA37" s="344" t="s">
        <v>126</v>
      </c>
      <c r="BB37" s="289" t="s">
        <v>1024</v>
      </c>
      <c r="BC37" s="290">
        <f>COUNTIF(BA$4:BA37,BA37)</f>
        <v>5</v>
      </c>
      <c r="BD37" s="290">
        <f>ROW()</f>
        <v>37</v>
      </c>
      <c r="BE37" s="290">
        <f t="shared" si="1"/>
        <v>1</v>
      </c>
      <c r="BG37" t="s">
        <v>167</v>
      </c>
      <c r="BH37">
        <f t="shared" si="8"/>
        <v>1</v>
      </c>
    </row>
    <row r="38" spans="2:60" x14ac:dyDescent="0.25">
      <c r="B38" s="120">
        <v>37</v>
      </c>
      <c r="C38" s="86"/>
      <c r="D38" s="86"/>
      <c r="E38" s="86"/>
      <c r="F38" s="120"/>
      <c r="G38" s="86"/>
      <c r="H38" s="86"/>
      <c r="I38" s="86"/>
      <c r="J38" s="86"/>
      <c r="K38" s="86"/>
      <c r="L38" s="86"/>
      <c r="M38" s="86"/>
      <c r="N38" s="86"/>
      <c r="O38" s="86"/>
      <c r="P38" s="86"/>
      <c r="Q38" s="117"/>
      <c r="R38" s="86"/>
      <c r="S38" s="117"/>
      <c r="T38" s="117"/>
      <c r="U38" s="117"/>
      <c r="V38" s="117"/>
      <c r="W38" s="117"/>
      <c r="X38" s="117" t="s">
        <v>854</v>
      </c>
      <c r="Y38" s="117">
        <v>532</v>
      </c>
      <c r="AL38">
        <v>35</v>
      </c>
      <c r="AM38">
        <f t="shared" si="7"/>
        <v>1</v>
      </c>
      <c r="AN38" s="287">
        <v>33</v>
      </c>
      <c r="AO38" s="287" t="s">
        <v>685</v>
      </c>
      <c r="AP38" s="287" t="s">
        <v>686</v>
      </c>
      <c r="AQ38" s="287" t="s">
        <v>180</v>
      </c>
      <c r="AR38" s="288" t="s">
        <v>638</v>
      </c>
      <c r="AS38" s="287" t="s">
        <v>962</v>
      </c>
      <c r="AT38" s="287" t="str">
        <f t="shared" si="5"/>
        <v>BB159:BB161</v>
      </c>
      <c r="AU38" s="288">
        <f>ROW()</f>
        <v>38</v>
      </c>
      <c r="AV38" s="288">
        <f t="array" ref="AV38">MINA(IF(AQ38=$BA$4:$BA$401,$BD$4:$BD$401))</f>
        <v>159</v>
      </c>
      <c r="AW38" s="288">
        <f t="array" ref="AW38">MAXA(IF(AQ38=$BA$4:$BA$401,$BD$4:$BD$401))</f>
        <v>161</v>
      </c>
      <c r="AX38" s="287" t="str">
        <f t="shared" si="6"/>
        <v>HUM</v>
      </c>
      <c r="BA38" s="344" t="s">
        <v>135</v>
      </c>
      <c r="BB38" s="289" t="s">
        <v>1025</v>
      </c>
      <c r="BC38" s="290">
        <f>COUNTIF(BA$4:BA38,BA38)</f>
        <v>1</v>
      </c>
      <c r="BD38" s="290">
        <f>ROW()</f>
        <v>38</v>
      </c>
      <c r="BE38" s="290">
        <f t="shared" si="1"/>
        <v>1</v>
      </c>
      <c r="BG38" t="s">
        <v>188</v>
      </c>
      <c r="BH38">
        <f t="shared" si="8"/>
        <v>1</v>
      </c>
    </row>
    <row r="39" spans="2:60" x14ac:dyDescent="0.25">
      <c r="F39" s="120"/>
      <c r="X39" s="3" t="s">
        <v>855</v>
      </c>
      <c r="Y39" s="3">
        <v>533</v>
      </c>
      <c r="AL39">
        <v>36</v>
      </c>
      <c r="AM39">
        <f t="shared" si="7"/>
        <v>1</v>
      </c>
      <c r="AN39" s="287">
        <v>34</v>
      </c>
      <c r="AO39" s="287" t="s">
        <v>685</v>
      </c>
      <c r="AP39" s="287" t="s">
        <v>130</v>
      </c>
      <c r="AQ39" s="287" t="s">
        <v>194</v>
      </c>
      <c r="AR39" s="288" t="s">
        <v>639</v>
      </c>
      <c r="AS39" s="287" t="s">
        <v>963</v>
      </c>
      <c r="AT39" s="287" t="str">
        <f t="shared" si="5"/>
        <v>BB209:BB212</v>
      </c>
      <c r="AU39" s="288">
        <f>ROW()</f>
        <v>39</v>
      </c>
      <c r="AV39" s="288">
        <f t="array" ref="AV39">MINA(IF(AQ39=$BA$4:$BA$401,$BD$4:$BD$401))</f>
        <v>209</v>
      </c>
      <c r="AW39" s="288">
        <f t="array" ref="AW39">MAXA(IF(AQ39=$BA$4:$BA$401,$BD$4:$BD$401))</f>
        <v>212</v>
      </c>
      <c r="AX39" s="287" t="str">
        <f t="shared" si="6"/>
        <v>HUM</v>
      </c>
      <c r="BA39" s="344" t="s">
        <v>135</v>
      </c>
      <c r="BB39" s="289" t="s">
        <v>1026</v>
      </c>
      <c r="BC39" s="290">
        <f>COUNTIF(BA$4:BA39,BA39)</f>
        <v>2</v>
      </c>
      <c r="BD39" s="290">
        <f>ROW()</f>
        <v>39</v>
      </c>
      <c r="BE39" s="290">
        <f t="shared" si="1"/>
        <v>1</v>
      </c>
      <c r="BG39" t="s">
        <v>89</v>
      </c>
      <c r="BH39">
        <f t="shared" si="8"/>
        <v>1</v>
      </c>
    </row>
    <row r="40" spans="2:60" x14ac:dyDescent="0.25">
      <c r="X40" s="3" t="s">
        <v>856</v>
      </c>
      <c r="Y40" s="3">
        <v>541</v>
      </c>
      <c r="AL40">
        <v>37</v>
      </c>
      <c r="AM40">
        <f t="shared" si="7"/>
        <v>1</v>
      </c>
      <c r="AN40" s="287">
        <v>35</v>
      </c>
      <c r="AO40" s="287" t="s">
        <v>687</v>
      </c>
      <c r="AP40" s="287" t="s">
        <v>688</v>
      </c>
      <c r="AQ40" s="287" t="s">
        <v>104</v>
      </c>
      <c r="AR40" s="288" t="s">
        <v>32</v>
      </c>
      <c r="AS40" s="287" t="s">
        <v>964</v>
      </c>
      <c r="AT40" s="287" t="str">
        <f t="shared" si="5"/>
        <v>BB17:BB20</v>
      </c>
      <c r="AU40" s="288">
        <f>ROW()</f>
        <v>40</v>
      </c>
      <c r="AV40" s="288">
        <f t="array" ref="AV40">MINA(IF(AQ40=$BA$4:$BA$401,$BD$4:$BD$401))</f>
        <v>17</v>
      </c>
      <c r="AW40" s="288">
        <f t="array" ref="AW40">MAXA(IF(AQ40=$BA$4:$BA$401,$BD$4:$BD$401))</f>
        <v>20</v>
      </c>
      <c r="AX40" s="287" t="str">
        <f t="shared" si="6"/>
        <v>ING</v>
      </c>
      <c r="BA40" s="344" t="s">
        <v>135</v>
      </c>
      <c r="BB40" s="289" t="s">
        <v>1027</v>
      </c>
      <c r="BC40" s="290">
        <f>COUNTIF(BA$4:BA40,BA40)</f>
        <v>3</v>
      </c>
      <c r="BD40" s="290">
        <f>ROW()</f>
        <v>40</v>
      </c>
      <c r="BE40" s="290">
        <f t="shared" si="1"/>
        <v>1</v>
      </c>
      <c r="BG40" t="s">
        <v>612</v>
      </c>
      <c r="BH40">
        <f t="shared" si="8"/>
        <v>1</v>
      </c>
    </row>
    <row r="41" spans="2:60" x14ac:dyDescent="0.25">
      <c r="X41" s="3" t="s">
        <v>857</v>
      </c>
      <c r="Y41" s="3">
        <v>542</v>
      </c>
      <c r="AL41">
        <v>38</v>
      </c>
      <c r="AM41">
        <f t="shared" si="7"/>
        <v>1</v>
      </c>
      <c r="AN41" s="287">
        <v>36</v>
      </c>
      <c r="AO41" s="287" t="s">
        <v>687</v>
      </c>
      <c r="AP41" s="287" t="s">
        <v>75</v>
      </c>
      <c r="AQ41" s="287" t="s">
        <v>124</v>
      </c>
      <c r="AR41" s="288" t="s">
        <v>32</v>
      </c>
      <c r="AS41" s="287" t="s">
        <v>965</v>
      </c>
      <c r="AT41" s="287" t="str">
        <f t="shared" si="5"/>
        <v>BB28:BB32</v>
      </c>
      <c r="AU41" s="288">
        <f>ROW()</f>
        <v>41</v>
      </c>
      <c r="AV41" s="288">
        <f t="array" ref="AV41">MINA(IF(AQ41=$BA$4:$BA$401,$BD$4:$BD$401))</f>
        <v>28</v>
      </c>
      <c r="AW41" s="288">
        <f t="array" ref="AW41">MAXA(IF(AQ41=$BA$4:$BA$401,$BD$4:$BD$401))</f>
        <v>32</v>
      </c>
      <c r="AX41" s="287" t="str">
        <f t="shared" si="6"/>
        <v>ING</v>
      </c>
      <c r="BA41" s="344" t="s">
        <v>135</v>
      </c>
      <c r="BB41" s="289" t="s">
        <v>1028</v>
      </c>
      <c r="BC41" s="290">
        <f>COUNTIF(BA$4:BA41,BA41)</f>
        <v>4</v>
      </c>
      <c r="BD41" s="290">
        <f>ROW()</f>
        <v>41</v>
      </c>
      <c r="BE41" s="290">
        <f t="shared" si="1"/>
        <v>1</v>
      </c>
      <c r="BG41" t="s">
        <v>227</v>
      </c>
      <c r="BH41">
        <f t="shared" si="8"/>
        <v>1</v>
      </c>
    </row>
    <row r="42" spans="2:60" x14ac:dyDescent="0.25">
      <c r="X42" s="3" t="s">
        <v>858</v>
      </c>
      <c r="Y42" s="3">
        <v>611</v>
      </c>
      <c r="AL42">
        <v>39</v>
      </c>
      <c r="AM42">
        <f t="shared" si="7"/>
        <v>1</v>
      </c>
      <c r="AN42" s="287">
        <v>37</v>
      </c>
      <c r="AO42" s="287" t="s">
        <v>687</v>
      </c>
      <c r="AP42" s="287" t="s">
        <v>689</v>
      </c>
      <c r="AQ42" s="287" t="s">
        <v>141</v>
      </c>
      <c r="AR42" s="288" t="s">
        <v>32</v>
      </c>
      <c r="AS42" s="287" t="s">
        <v>966</v>
      </c>
      <c r="AT42" s="287" t="str">
        <f t="shared" si="5"/>
        <v>BB46:BB50</v>
      </c>
      <c r="AU42" s="288">
        <f>ROW()</f>
        <v>42</v>
      </c>
      <c r="AV42" s="288">
        <f t="array" ref="AV42">MINA(IF(AQ42=$BA$4:$BA$401,$BD$4:$BD$401))</f>
        <v>46</v>
      </c>
      <c r="AW42" s="288">
        <f t="array" ref="AW42">MAXA(IF(AQ42=$BA$4:$BA$401,$BD$4:$BD$401))</f>
        <v>50</v>
      </c>
      <c r="AX42" s="287" t="str">
        <f t="shared" si="6"/>
        <v>ING</v>
      </c>
      <c r="BA42" s="344" t="s">
        <v>135</v>
      </c>
      <c r="BB42" s="289" t="s">
        <v>691</v>
      </c>
      <c r="BC42" s="290">
        <f>COUNTIF(BA$4:BA42,BA42)</f>
        <v>5</v>
      </c>
      <c r="BD42" s="290">
        <f>ROW()</f>
        <v>42</v>
      </c>
      <c r="BE42" s="290">
        <f t="shared" si="1"/>
        <v>1</v>
      </c>
      <c r="BG42" t="s">
        <v>207</v>
      </c>
      <c r="BH42">
        <f t="shared" si="8"/>
        <v>1</v>
      </c>
    </row>
    <row r="43" spans="2:60" x14ac:dyDescent="0.25">
      <c r="X43" s="3" t="s">
        <v>859</v>
      </c>
      <c r="Y43" s="3">
        <v>612</v>
      </c>
      <c r="AL43">
        <v>40</v>
      </c>
      <c r="AM43">
        <f t="shared" si="7"/>
        <v>1</v>
      </c>
      <c r="AN43" s="287">
        <v>38</v>
      </c>
      <c r="AO43" s="287" t="s">
        <v>687</v>
      </c>
      <c r="AP43" s="287" t="s">
        <v>92</v>
      </c>
      <c r="AQ43" s="287" t="s">
        <v>144</v>
      </c>
      <c r="AR43" s="288" t="s">
        <v>452</v>
      </c>
      <c r="AS43" s="287" t="s">
        <v>967</v>
      </c>
      <c r="AT43" s="287" t="str">
        <f t="shared" si="5"/>
        <v>BB56:BB60</v>
      </c>
      <c r="AU43" s="288">
        <f>ROW()</f>
        <v>43</v>
      </c>
      <c r="AV43" s="288">
        <f t="array" ref="AV43">MINA(IF(AQ43=$BA$4:$BA$401,$BD$4:$BD$401))</f>
        <v>56</v>
      </c>
      <c r="AW43" s="288">
        <f t="array" ref="AW43">MAXA(IF(AQ43=$BA$4:$BA$401,$BD$4:$BD$401))</f>
        <v>60</v>
      </c>
      <c r="AX43" s="287" t="str">
        <f t="shared" si="6"/>
        <v>ING</v>
      </c>
      <c r="BA43" s="344" t="s">
        <v>136</v>
      </c>
      <c r="BB43" s="289" t="s">
        <v>692</v>
      </c>
      <c r="BC43" s="290">
        <f>COUNTIF(BA$4:BA43,BA43)</f>
        <v>1</v>
      </c>
      <c r="BD43" s="290">
        <f>ROW()</f>
        <v>43</v>
      </c>
      <c r="BE43" s="290">
        <f t="shared" si="1"/>
        <v>1</v>
      </c>
      <c r="BG43" t="s">
        <v>809</v>
      </c>
      <c r="BH43">
        <f t="shared" si="8"/>
        <v>0</v>
      </c>
    </row>
    <row r="44" spans="2:60" x14ac:dyDescent="0.25">
      <c r="X44" s="3" t="s">
        <v>860</v>
      </c>
      <c r="Y44" s="3">
        <v>613</v>
      </c>
      <c r="AL44">
        <v>41</v>
      </c>
      <c r="AM44">
        <f t="shared" si="7"/>
        <v>1</v>
      </c>
      <c r="AN44" s="287">
        <v>39</v>
      </c>
      <c r="AO44" s="287" t="s">
        <v>687</v>
      </c>
      <c r="AP44" s="287" t="s">
        <v>690</v>
      </c>
      <c r="AQ44" s="287" t="s">
        <v>165</v>
      </c>
      <c r="AR44" s="288" t="s">
        <v>32</v>
      </c>
      <c r="AS44" s="287" t="s">
        <v>968</v>
      </c>
      <c r="AT44" s="287" t="str">
        <f t="shared" si="5"/>
        <v>BB112:BB117</v>
      </c>
      <c r="AU44" s="288">
        <f>ROW()</f>
        <v>44</v>
      </c>
      <c r="AV44" s="288">
        <f t="array" ref="AV44">MINA(IF(AQ44=$BA$4:$BA$401,$BD$4:$BD$401))</f>
        <v>112</v>
      </c>
      <c r="AW44" s="288">
        <f t="array" ref="AW44">MAXA(IF(AQ44=$BA$4:$BA$401,$BD$4:$BD$401))</f>
        <v>117</v>
      </c>
      <c r="AX44" s="287" t="str">
        <f t="shared" si="6"/>
        <v>ING</v>
      </c>
      <c r="BA44" s="344" t="s">
        <v>136</v>
      </c>
      <c r="BB44" s="289" t="s">
        <v>137</v>
      </c>
      <c r="BC44" s="290">
        <f>COUNTIF(BA$4:BA44,BA44)</f>
        <v>2</v>
      </c>
      <c r="BD44" s="290">
        <f>ROW()</f>
        <v>44</v>
      </c>
      <c r="BE44" s="290">
        <f t="shared" si="1"/>
        <v>1</v>
      </c>
      <c r="BG44" t="s">
        <v>214</v>
      </c>
      <c r="BH44">
        <f t="shared" si="8"/>
        <v>0</v>
      </c>
    </row>
    <row r="45" spans="2:60" x14ac:dyDescent="0.25">
      <c r="X45" s="3" t="s">
        <v>861</v>
      </c>
      <c r="Y45" s="3">
        <v>711</v>
      </c>
      <c r="AL45">
        <v>42</v>
      </c>
      <c r="AM45">
        <f t="shared" si="7"/>
        <v>1</v>
      </c>
      <c r="AN45" s="287">
        <v>40</v>
      </c>
      <c r="AO45" s="287" t="s">
        <v>687</v>
      </c>
      <c r="AP45" s="287" t="s">
        <v>116</v>
      </c>
      <c r="AQ45" s="287" t="s">
        <v>170</v>
      </c>
      <c r="AR45" s="288" t="s">
        <v>32</v>
      </c>
      <c r="AS45" s="287" t="s">
        <v>969</v>
      </c>
      <c r="AT45" s="287" t="str">
        <f t="shared" si="5"/>
        <v>BB121:BB124</v>
      </c>
      <c r="AU45" s="288">
        <f>ROW()</f>
        <v>45</v>
      </c>
      <c r="AV45" s="288">
        <f t="array" ref="AV45">MINA(IF(AQ45=$BA$4:$BA$401,$BD$4:$BD$401))</f>
        <v>121</v>
      </c>
      <c r="AW45" s="288">
        <f t="array" ref="AW45">MAXA(IF(AQ45=$BA$4:$BA$401,$BD$4:$BD$401))</f>
        <v>124</v>
      </c>
      <c r="AX45" s="287" t="str">
        <f t="shared" si="6"/>
        <v>ING</v>
      </c>
      <c r="BA45" s="344" t="s">
        <v>136</v>
      </c>
      <c r="BB45" s="289" t="s">
        <v>242</v>
      </c>
      <c r="BC45" s="290">
        <f>COUNTIF(BA$4:BA45,BA45)</f>
        <v>3</v>
      </c>
      <c r="BD45" s="290">
        <f>ROW()</f>
        <v>45</v>
      </c>
      <c r="BE45" s="290">
        <f t="shared" si="1"/>
        <v>1</v>
      </c>
      <c r="BG45" t="s">
        <v>228</v>
      </c>
      <c r="BH45">
        <f t="shared" si="8"/>
        <v>1</v>
      </c>
    </row>
    <row r="46" spans="2:60" x14ac:dyDescent="0.25">
      <c r="X46" s="3" t="s">
        <v>862</v>
      </c>
      <c r="Y46" s="3">
        <v>712</v>
      </c>
      <c r="AL46">
        <v>43</v>
      </c>
      <c r="AM46">
        <f t="shared" si="7"/>
        <v>1</v>
      </c>
      <c r="AN46" s="287">
        <v>41</v>
      </c>
      <c r="AO46" s="287" t="s">
        <v>687</v>
      </c>
      <c r="AP46" s="287" t="s">
        <v>118</v>
      </c>
      <c r="AQ46" s="287" t="s">
        <v>172</v>
      </c>
      <c r="AR46" s="288" t="s">
        <v>639</v>
      </c>
      <c r="AS46" s="287" t="s">
        <v>970</v>
      </c>
      <c r="AT46" s="287" t="str">
        <f t="shared" si="5"/>
        <v>BB130:BB133</v>
      </c>
      <c r="AU46" s="288">
        <f>ROW()</f>
        <v>46</v>
      </c>
      <c r="AV46" s="288">
        <f t="array" ref="AV46">MINA(IF(AQ46=$BA$4:$BA$401,$BD$4:$BD$401))</f>
        <v>130</v>
      </c>
      <c r="AW46" s="288">
        <f t="array" ref="AW46">MAXA(IF(AQ46=$BA$4:$BA$401,$BD$4:$BD$401))</f>
        <v>133</v>
      </c>
      <c r="AX46" s="287" t="str">
        <f t="shared" si="6"/>
        <v>ING</v>
      </c>
      <c r="BA46" s="344" t="s">
        <v>141</v>
      </c>
      <c r="BB46" s="289" t="s">
        <v>1029</v>
      </c>
      <c r="BC46" s="290">
        <f>COUNTIF(BA$4:BA46,BA46)</f>
        <v>1</v>
      </c>
      <c r="BD46" s="290">
        <f>ROW()</f>
        <v>46</v>
      </c>
      <c r="BE46" s="290">
        <f t="shared" si="1"/>
        <v>1</v>
      </c>
      <c r="BG46" t="s">
        <v>235</v>
      </c>
      <c r="BH46">
        <f t="shared" si="8"/>
        <v>1</v>
      </c>
    </row>
    <row r="47" spans="2:60" x14ac:dyDescent="0.25">
      <c r="C47" s="3" t="s">
        <v>1113</v>
      </c>
      <c r="G47" s="3">
        <f>73-COUNTIF(H49:H121,0)</f>
        <v>73</v>
      </c>
      <c r="X47" s="3" t="s">
        <v>863</v>
      </c>
      <c r="Y47" s="3">
        <v>713</v>
      </c>
      <c r="AL47">
        <v>44</v>
      </c>
      <c r="AM47">
        <f t="shared" si="7"/>
        <v>1</v>
      </c>
      <c r="AN47" s="287">
        <v>42</v>
      </c>
      <c r="AO47" s="287" t="s">
        <v>687</v>
      </c>
      <c r="AP47" s="287" t="s">
        <v>693</v>
      </c>
      <c r="AQ47" s="287" t="s">
        <v>175</v>
      </c>
      <c r="AR47" s="288" t="s">
        <v>32</v>
      </c>
      <c r="AS47" s="287" t="s">
        <v>971</v>
      </c>
      <c r="AT47" s="287" t="str">
        <f t="shared" si="5"/>
        <v>BB139:BB143</v>
      </c>
      <c r="AU47" s="288">
        <f>ROW()</f>
        <v>47</v>
      </c>
      <c r="AV47" s="288">
        <f t="array" ref="AV47">MINA(IF(AQ47=$BA$4:$BA$401,$BD$4:$BD$401))</f>
        <v>139</v>
      </c>
      <c r="AW47" s="288">
        <f t="array" ref="AW47">MAXA(IF(AQ47=$BA$4:$BA$401,$BD$4:$BD$401))</f>
        <v>143</v>
      </c>
      <c r="AX47" s="287" t="str">
        <f t="shared" si="6"/>
        <v>ING</v>
      </c>
      <c r="BA47" s="344" t="s">
        <v>141</v>
      </c>
      <c r="BB47" s="289" t="s">
        <v>142</v>
      </c>
      <c r="BC47" s="290">
        <f>COUNTIF(BA$4:BA47,BA47)</f>
        <v>2</v>
      </c>
      <c r="BD47" s="290">
        <f>ROW()</f>
        <v>47</v>
      </c>
      <c r="BE47" s="290">
        <f t="shared" si="1"/>
        <v>1</v>
      </c>
      <c r="BG47" t="s">
        <v>170</v>
      </c>
      <c r="BH47">
        <f t="shared" si="8"/>
        <v>1</v>
      </c>
    </row>
    <row r="48" spans="2:60" x14ac:dyDescent="0.25">
      <c r="B48" s="3" t="s">
        <v>1115</v>
      </c>
      <c r="C48" s="285" t="s">
        <v>651</v>
      </c>
      <c r="D48" s="285" t="s">
        <v>649</v>
      </c>
      <c r="E48" s="3" t="s">
        <v>1114</v>
      </c>
      <c r="G48" s="347" t="str">
        <f>Datos_Generales!C19</f>
        <v/>
      </c>
      <c r="H48" s="3" t="s">
        <v>1116</v>
      </c>
      <c r="X48" s="3" t="s">
        <v>864</v>
      </c>
      <c r="Y48" s="3">
        <v>714</v>
      </c>
      <c r="AL48">
        <v>45</v>
      </c>
      <c r="AM48">
        <f t="shared" si="7"/>
        <v>1</v>
      </c>
      <c r="AN48" s="287">
        <v>43</v>
      </c>
      <c r="AO48" s="287" t="s">
        <v>687</v>
      </c>
      <c r="AP48" s="287" t="s">
        <v>694</v>
      </c>
      <c r="AQ48" s="287" t="s">
        <v>179</v>
      </c>
      <c r="AR48" s="288" t="s">
        <v>32</v>
      </c>
      <c r="AS48" s="287" t="s">
        <v>972</v>
      </c>
      <c r="AT48" s="287" t="str">
        <f t="shared" si="5"/>
        <v>BB144:BB149</v>
      </c>
      <c r="AU48" s="288">
        <f>ROW()</f>
        <v>48</v>
      </c>
      <c r="AV48" s="288">
        <f t="array" ref="AV48">MINA(IF(AQ48=$BA$4:$BA$401,$BD$4:$BD$401))</f>
        <v>144</v>
      </c>
      <c r="AW48" s="288">
        <f t="array" ref="AW48">MAXA(IF(AQ48=$BA$4:$BA$401,$BD$4:$BD$401))</f>
        <v>149</v>
      </c>
      <c r="AX48" s="287" t="str">
        <f t="shared" si="6"/>
        <v>ING</v>
      </c>
      <c r="BA48" s="344" t="s">
        <v>141</v>
      </c>
      <c r="BB48" s="289" t="s">
        <v>1030</v>
      </c>
      <c r="BC48" s="290">
        <f>COUNTIF(BA$4:BA48,BA48)</f>
        <v>3</v>
      </c>
      <c r="BD48" s="290">
        <f>ROW()</f>
        <v>48</v>
      </c>
      <c r="BE48" s="290">
        <f t="shared" si="1"/>
        <v>1</v>
      </c>
      <c r="BG48" t="s">
        <v>208</v>
      </c>
      <c r="BH48">
        <f t="shared" si="8"/>
        <v>1</v>
      </c>
    </row>
    <row r="49" spans="2:60" x14ac:dyDescent="0.25">
      <c r="B49" s="3">
        <f>IF(E49=1,SUM($E$49:E49),0)</f>
        <v>1</v>
      </c>
      <c r="C49" s="287" t="s">
        <v>679</v>
      </c>
      <c r="D49" s="287">
        <v>20</v>
      </c>
      <c r="E49" s="99">
        <f t="shared" ref="E49:E80" si="9">IF(IFERROR(SEARCH(GP,C49,1),0)&gt;0,1,0)</f>
        <v>1</v>
      </c>
      <c r="G49" s="3" t="str">
        <f>IFERROR(VLOOKUP(ROW()-48,$B$48:$E$121,2,0),"")</f>
        <v>"PYDES" Pedagogía y didáctica en la educación superior</v>
      </c>
      <c r="H49" s="3">
        <f>IFERROR(VLOOKUP(ROW()-48,$B$48:$E$121,3,0),0)</f>
        <v>20</v>
      </c>
      <c r="X49" s="3" t="s">
        <v>865</v>
      </c>
      <c r="Y49" s="3">
        <v>715</v>
      </c>
      <c r="AL49">
        <v>46</v>
      </c>
      <c r="AM49">
        <f t="shared" si="7"/>
        <v>1</v>
      </c>
      <c r="AN49" s="287">
        <v>44</v>
      </c>
      <c r="AO49" s="287" t="s">
        <v>687</v>
      </c>
      <c r="AP49" s="287" t="s">
        <v>134</v>
      </c>
      <c r="AQ49" s="287" t="s">
        <v>587</v>
      </c>
      <c r="AR49" s="288" t="s">
        <v>32</v>
      </c>
      <c r="AS49" s="287" t="s">
        <v>973</v>
      </c>
      <c r="AT49" s="287" t="str">
        <f t="shared" si="5"/>
        <v>BB157:BB158</v>
      </c>
      <c r="AU49" s="288">
        <f>ROW()</f>
        <v>49</v>
      </c>
      <c r="AV49" s="288">
        <f t="array" ref="AV49">MINA(IF(AQ49=$BA$4:$BA$401,$BD$4:$BD$401))</f>
        <v>157</v>
      </c>
      <c r="AW49" s="288">
        <f t="array" ref="AW49">MAXA(IF(AQ49=$BA$4:$BA$401,$BD$4:$BD$401))</f>
        <v>158</v>
      </c>
      <c r="AX49" s="287" t="str">
        <f t="shared" si="6"/>
        <v>ING</v>
      </c>
      <c r="BA49" s="344" t="s">
        <v>141</v>
      </c>
      <c r="BB49" s="289" t="s">
        <v>1031</v>
      </c>
      <c r="BC49" s="290">
        <f>COUNTIF(BA$4:BA49,BA49)</f>
        <v>4</v>
      </c>
      <c r="BD49" s="290">
        <f>ROW()</f>
        <v>49</v>
      </c>
      <c r="BE49" s="290">
        <f t="shared" si="1"/>
        <v>1</v>
      </c>
      <c r="BG49" t="s">
        <v>594</v>
      </c>
      <c r="BH49">
        <f t="shared" si="8"/>
        <v>1</v>
      </c>
    </row>
    <row r="50" spans="2:60" x14ac:dyDescent="0.25">
      <c r="B50" s="3">
        <f>IF(E50=1,SUM($E$49:E50),0)</f>
        <v>2</v>
      </c>
      <c r="C50" s="287" t="s">
        <v>134</v>
      </c>
      <c r="D50" s="287">
        <v>44</v>
      </c>
      <c r="E50" s="99">
        <f t="shared" si="9"/>
        <v>1</v>
      </c>
      <c r="G50" s="3" t="str">
        <f t="shared" ref="G50:G113" si="10">IFERROR(VLOOKUP(ROW()-48,$B$48:$E$121,2,0),"")</f>
        <v>ACCEDER</v>
      </c>
      <c r="H50" s="3">
        <f t="shared" ref="H50:H113" si="11">IFERROR(VLOOKUP(ROW()-48,$B$48:$E$121,3,0),0)</f>
        <v>44</v>
      </c>
      <c r="X50" s="3" t="s">
        <v>866</v>
      </c>
      <c r="Y50" s="3">
        <v>716</v>
      </c>
      <c r="AL50">
        <v>47</v>
      </c>
      <c r="AM50">
        <f t="shared" si="7"/>
        <v>1</v>
      </c>
      <c r="AN50" s="287">
        <v>45</v>
      </c>
      <c r="AO50" s="287" t="s">
        <v>687</v>
      </c>
      <c r="AP50" s="287" t="s">
        <v>129</v>
      </c>
      <c r="AQ50" s="287" t="s">
        <v>192</v>
      </c>
      <c r="AR50" s="288" t="s">
        <v>32</v>
      </c>
      <c r="AS50" s="287" t="s">
        <v>974</v>
      </c>
      <c r="AT50" s="287" t="str">
        <f t="shared" si="5"/>
        <v>BB206:BB208</v>
      </c>
      <c r="AU50" s="288">
        <f>ROW()</f>
        <v>50</v>
      </c>
      <c r="AV50" s="288">
        <f t="array" ref="AV50">MINA(IF(AQ50=$BA$4:$BA$401,$BD$4:$BD$401))</f>
        <v>206</v>
      </c>
      <c r="AW50" s="288">
        <f t="array" ref="AW50">MAXA(IF(AQ50=$BA$4:$BA$401,$BD$4:$BD$401))</f>
        <v>208</v>
      </c>
      <c r="AX50" s="287" t="str">
        <f t="shared" si="6"/>
        <v>ING</v>
      </c>
      <c r="BA50" s="344" t="s">
        <v>141</v>
      </c>
      <c r="BB50" s="289" t="s">
        <v>1032</v>
      </c>
      <c r="BC50" s="290">
        <f>COUNTIF(BA$4:BA50,BA50)</f>
        <v>5</v>
      </c>
      <c r="BD50" s="290">
        <f>ROW()</f>
        <v>50</v>
      </c>
      <c r="BE50" s="290">
        <f t="shared" si="1"/>
        <v>1</v>
      </c>
      <c r="BG50" t="s">
        <v>215</v>
      </c>
      <c r="BH50">
        <f t="shared" si="8"/>
        <v>0</v>
      </c>
    </row>
    <row r="51" spans="2:60" x14ac:dyDescent="0.25">
      <c r="B51" s="3">
        <f>IF(E51=1,SUM($E$49:E51),0)</f>
        <v>3</v>
      </c>
      <c r="C51" s="287" t="s">
        <v>127</v>
      </c>
      <c r="D51" s="287">
        <v>10</v>
      </c>
      <c r="E51" s="99">
        <f t="shared" si="9"/>
        <v>1</v>
      </c>
      <c r="G51" s="3" t="str">
        <f t="shared" si="10"/>
        <v>Agrobiología de especies vegetales promisorias de clima frío</v>
      </c>
      <c r="H51" s="3">
        <f t="shared" si="11"/>
        <v>10</v>
      </c>
      <c r="X51" s="3" t="s">
        <v>867</v>
      </c>
      <c r="Y51" s="3">
        <v>721</v>
      </c>
      <c r="AL51">
        <v>48</v>
      </c>
      <c r="AM51">
        <f t="shared" si="7"/>
        <v>1</v>
      </c>
      <c r="AN51" s="287">
        <v>46</v>
      </c>
      <c r="AO51" s="287" t="s">
        <v>687</v>
      </c>
      <c r="AP51" s="287" t="s">
        <v>695</v>
      </c>
      <c r="AQ51" s="287" t="s">
        <v>196</v>
      </c>
      <c r="AR51" s="288" t="s">
        <v>639</v>
      </c>
      <c r="AS51" s="287" t="s">
        <v>975</v>
      </c>
      <c r="AT51" s="287" t="str">
        <f t="shared" si="5"/>
        <v>BB216:BB220</v>
      </c>
      <c r="AU51" s="288">
        <f>ROW()</f>
        <v>51</v>
      </c>
      <c r="AV51" s="288">
        <f t="array" ref="AV51">MINA(IF(AQ51=$BA$4:$BA$401,$BD$4:$BD$401))</f>
        <v>216</v>
      </c>
      <c r="AW51" s="288">
        <f t="array" ref="AW51">MAXA(IF(AQ51=$BA$4:$BA$401,$BD$4:$BD$401))</f>
        <v>220</v>
      </c>
      <c r="AX51" s="287" t="str">
        <f t="shared" si="6"/>
        <v>ING</v>
      </c>
      <c r="BA51" s="344" t="s">
        <v>227</v>
      </c>
      <c r="BB51" s="289" t="s">
        <v>696</v>
      </c>
      <c r="BC51" s="290">
        <f>COUNTIF(BA$4:BA51,BA51)</f>
        <v>1</v>
      </c>
      <c r="BD51" s="290">
        <f>ROW()</f>
        <v>51</v>
      </c>
      <c r="BE51" s="290">
        <f t="shared" si="1"/>
        <v>1</v>
      </c>
      <c r="BG51" t="s">
        <v>222</v>
      </c>
      <c r="BH51">
        <f t="shared" si="8"/>
        <v>1</v>
      </c>
    </row>
    <row r="52" spans="2:60" x14ac:dyDescent="0.25">
      <c r="B52" s="3">
        <f>IF(E52=1,SUM($E$49:E52),0)</f>
        <v>4</v>
      </c>
      <c r="C52" s="287" t="s">
        <v>130</v>
      </c>
      <c r="D52" s="287">
        <v>34</v>
      </c>
      <c r="E52" s="99">
        <f t="shared" si="9"/>
        <v>1</v>
      </c>
      <c r="G52" s="3" t="str">
        <f t="shared" si="10"/>
        <v>BioethicsGroup</v>
      </c>
      <c r="H52" s="3">
        <f t="shared" si="11"/>
        <v>34</v>
      </c>
      <c r="X52" s="3" t="s">
        <v>868</v>
      </c>
      <c r="Y52" s="3">
        <v>722</v>
      </c>
      <c r="AL52">
        <v>49</v>
      </c>
      <c r="AM52">
        <f t="shared" si="7"/>
        <v>1</v>
      </c>
      <c r="AN52" s="287">
        <v>47</v>
      </c>
      <c r="AO52" s="287" t="s">
        <v>687</v>
      </c>
      <c r="AP52" s="287" t="s">
        <v>132</v>
      </c>
      <c r="AQ52" s="287" t="s">
        <v>203</v>
      </c>
      <c r="AR52" s="288" t="s">
        <v>639</v>
      </c>
      <c r="AS52" s="287" t="s">
        <v>976</v>
      </c>
      <c r="AT52" s="287" t="str">
        <f t="shared" si="5"/>
        <v>BB225:BB230</v>
      </c>
      <c r="AU52" s="288">
        <f>ROW()</f>
        <v>52</v>
      </c>
      <c r="AV52" s="288">
        <f t="array" ref="AV52">MINA(IF(AQ52=$BA$4:$BA$401,$BD$4:$BD$401))</f>
        <v>225</v>
      </c>
      <c r="AW52" s="288">
        <f t="array" ref="AW52">MAXA(IF(AQ52=$BA$4:$BA$401,$BD$4:$BD$401))</f>
        <v>230</v>
      </c>
      <c r="AX52" s="287" t="str">
        <f t="shared" si="6"/>
        <v>ING</v>
      </c>
      <c r="BA52" s="344" t="s">
        <v>227</v>
      </c>
      <c r="BB52" s="289" t="s">
        <v>698</v>
      </c>
      <c r="BC52" s="290">
        <f>COUNTIF(BA$4:BA52,BA52)</f>
        <v>2</v>
      </c>
      <c r="BD52" s="290">
        <f>ROW()</f>
        <v>52</v>
      </c>
      <c r="BE52" s="290">
        <f t="shared" si="1"/>
        <v>1</v>
      </c>
      <c r="BG52" t="s">
        <v>231</v>
      </c>
      <c r="BH52">
        <f t="shared" si="8"/>
        <v>1</v>
      </c>
    </row>
    <row r="53" spans="2:60" x14ac:dyDescent="0.25">
      <c r="B53" s="3">
        <f>IF(E53=1,SUM($E$49:E53),0)</f>
        <v>5</v>
      </c>
      <c r="C53" s="287" t="s">
        <v>611</v>
      </c>
      <c r="D53" s="287">
        <v>67</v>
      </c>
      <c r="E53" s="99">
        <f t="shared" si="9"/>
        <v>1</v>
      </c>
      <c r="G53" s="3" t="str">
        <f t="shared" si="10"/>
        <v>BioGenEtica &amp; BioDerecho</v>
      </c>
      <c r="H53" s="3">
        <f t="shared" si="11"/>
        <v>67</v>
      </c>
      <c r="X53" s="3" t="s">
        <v>869</v>
      </c>
      <c r="Y53" s="3">
        <v>723</v>
      </c>
      <c r="AL53">
        <v>50</v>
      </c>
      <c r="AM53">
        <f t="shared" si="7"/>
        <v>1</v>
      </c>
      <c r="AN53" s="287">
        <v>48</v>
      </c>
      <c r="AO53" s="287" t="s">
        <v>687</v>
      </c>
      <c r="AP53" s="287" t="s">
        <v>697</v>
      </c>
      <c r="AQ53" s="287" t="s">
        <v>208</v>
      </c>
      <c r="AR53" s="288" t="s">
        <v>32</v>
      </c>
      <c r="AS53" s="287" t="s">
        <v>977</v>
      </c>
      <c r="AT53" s="287" t="str">
        <f t="shared" si="5"/>
        <v>BB243:BB247</v>
      </c>
      <c r="AU53" s="288">
        <f>ROW()</f>
        <v>53</v>
      </c>
      <c r="AV53" s="288">
        <f t="array" ref="AV53">MINA(IF(AQ53=$BA$4:$BA$401,$BD$4:$BD$401))</f>
        <v>243</v>
      </c>
      <c r="AW53" s="288">
        <f t="array" ref="AW53">MAXA(IF(AQ53=$BA$4:$BA$401,$BD$4:$BD$401))</f>
        <v>247</v>
      </c>
      <c r="AX53" s="287" t="str">
        <f t="shared" si="6"/>
        <v>ING</v>
      </c>
      <c r="BA53" s="344" t="s">
        <v>227</v>
      </c>
      <c r="BB53" s="289" t="s">
        <v>700</v>
      </c>
      <c r="BC53" s="290">
        <f>COUNTIF(BA$4:BA53,BA53)</f>
        <v>3</v>
      </c>
      <c r="BD53" s="290">
        <f>ROW()</f>
        <v>53</v>
      </c>
      <c r="BE53" s="290">
        <f t="shared" si="1"/>
        <v>1</v>
      </c>
      <c r="BG53" t="s">
        <v>589</v>
      </c>
      <c r="BH53">
        <f t="shared" si="8"/>
        <v>1</v>
      </c>
    </row>
    <row r="54" spans="2:60" x14ac:dyDescent="0.25">
      <c r="B54" s="3">
        <f>IF(E54=1,SUM($E$49:E54),0)</f>
        <v>6</v>
      </c>
      <c r="C54" s="287" t="s">
        <v>69</v>
      </c>
      <c r="D54" s="287">
        <v>53</v>
      </c>
      <c r="E54" s="99">
        <f t="shared" si="9"/>
        <v>1</v>
      </c>
      <c r="G54" s="3" t="str">
        <f t="shared" si="10"/>
        <v>BONE</v>
      </c>
      <c r="H54" s="3">
        <f t="shared" si="11"/>
        <v>53</v>
      </c>
      <c r="X54" s="3" t="s">
        <v>870</v>
      </c>
      <c r="Y54" s="3">
        <v>724</v>
      </c>
      <c r="AL54">
        <v>51</v>
      </c>
      <c r="AM54">
        <f t="shared" si="7"/>
        <v>1</v>
      </c>
      <c r="AN54" s="287">
        <v>49</v>
      </c>
      <c r="AO54" s="287" t="s">
        <v>687</v>
      </c>
      <c r="AP54" s="287" t="s">
        <v>699</v>
      </c>
      <c r="AQ54" s="287" t="s">
        <v>595</v>
      </c>
      <c r="AR54" s="288" t="s">
        <v>32</v>
      </c>
      <c r="AS54" s="287" t="s">
        <v>978</v>
      </c>
      <c r="AT54" s="287" t="str">
        <f t="shared" si="5"/>
        <v>BB256:BB258</v>
      </c>
      <c r="AU54" s="288">
        <f>ROW()</f>
        <v>54</v>
      </c>
      <c r="AV54" s="288">
        <f t="array" ref="AV54">MINA(IF(AQ54=$BA$4:$BA$401,$BD$4:$BD$401))</f>
        <v>256</v>
      </c>
      <c r="AW54" s="288">
        <f t="array" ref="AW54">MAXA(IF(AQ54=$BA$4:$BA$401,$BD$4:$BD$401))</f>
        <v>258</v>
      </c>
      <c r="AX54" s="287" t="str">
        <f t="shared" si="6"/>
        <v>ING</v>
      </c>
      <c r="BA54" s="344" t="s">
        <v>227</v>
      </c>
      <c r="BB54" s="289" t="s">
        <v>701</v>
      </c>
      <c r="BC54" s="290">
        <f>COUNTIF(BA$4:BA54,BA54)</f>
        <v>4</v>
      </c>
      <c r="BD54" s="290">
        <f>ROW()</f>
        <v>54</v>
      </c>
      <c r="BE54" s="290">
        <f t="shared" si="1"/>
        <v>1</v>
      </c>
      <c r="BG54" t="s">
        <v>588</v>
      </c>
      <c r="BH54">
        <f t="shared" si="8"/>
        <v>1</v>
      </c>
    </row>
    <row r="55" spans="2:60" x14ac:dyDescent="0.25">
      <c r="B55" s="3">
        <f>IF(E55=1,SUM($E$49:E55),0)</f>
        <v>7</v>
      </c>
      <c r="C55" s="287" t="s">
        <v>39</v>
      </c>
      <c r="D55" s="287">
        <v>52</v>
      </c>
      <c r="E55" s="99">
        <f t="shared" si="9"/>
        <v>1</v>
      </c>
      <c r="G55" s="3" t="str">
        <f t="shared" si="10"/>
        <v>CATCH</v>
      </c>
      <c r="H55" s="3">
        <f t="shared" si="11"/>
        <v>52</v>
      </c>
      <c r="X55" s="3" t="s">
        <v>871</v>
      </c>
      <c r="Y55" s="3">
        <v>731</v>
      </c>
      <c r="AL55">
        <v>52</v>
      </c>
      <c r="AM55">
        <f t="shared" si="7"/>
        <v>1</v>
      </c>
      <c r="AN55" s="287">
        <v>50</v>
      </c>
      <c r="AO55" s="287" t="s">
        <v>687</v>
      </c>
      <c r="AP55" s="287" t="s">
        <v>139</v>
      </c>
      <c r="AQ55" s="287" t="s">
        <v>589</v>
      </c>
      <c r="AR55" s="288" t="s">
        <v>32</v>
      </c>
      <c r="AS55" s="287" t="s">
        <v>979</v>
      </c>
      <c r="AT55" s="287" t="str">
        <f t="shared" si="5"/>
        <v>BB266:BB269</v>
      </c>
      <c r="AU55" s="288">
        <f>ROW()</f>
        <v>55</v>
      </c>
      <c r="AV55" s="288">
        <f t="array" ref="AV55">MINA(IF(AQ55=$BA$4:$BA$401,$BD$4:$BD$401))</f>
        <v>266</v>
      </c>
      <c r="AW55" s="288">
        <f t="array" ref="AW55">MAXA(IF(AQ55=$BA$4:$BA$401,$BD$4:$BD$401))</f>
        <v>269</v>
      </c>
      <c r="AX55" s="287" t="str">
        <f t="shared" si="6"/>
        <v>ING</v>
      </c>
      <c r="BA55" s="344" t="s">
        <v>227</v>
      </c>
      <c r="BB55" s="289" t="s">
        <v>703</v>
      </c>
      <c r="BC55" s="290">
        <f>COUNTIF(BA$4:BA55,BA55)</f>
        <v>5</v>
      </c>
      <c r="BD55" s="290">
        <f>ROW()</f>
        <v>55</v>
      </c>
      <c r="BE55" s="290">
        <f t="shared" si="1"/>
        <v>1</v>
      </c>
      <c r="BG55" t="s">
        <v>233</v>
      </c>
      <c r="BH55">
        <f t="shared" si="8"/>
        <v>1</v>
      </c>
    </row>
    <row r="56" spans="2:60" x14ac:dyDescent="0.25">
      <c r="B56" s="3">
        <f>IF(E56=1,SUM($E$49:E56),0)</f>
        <v>8</v>
      </c>
      <c r="C56" s="287" t="s">
        <v>143</v>
      </c>
      <c r="D56" s="287">
        <v>59</v>
      </c>
      <c r="E56" s="99">
        <f t="shared" si="9"/>
        <v>1</v>
      </c>
      <c r="G56" s="3" t="str">
        <f t="shared" si="10"/>
        <v>Células Stem Adultas</v>
      </c>
      <c r="H56" s="3">
        <f t="shared" si="11"/>
        <v>59</v>
      </c>
      <c r="X56" s="3" t="s">
        <v>872</v>
      </c>
      <c r="Y56" s="3">
        <v>732</v>
      </c>
      <c r="AL56">
        <v>53</v>
      </c>
      <c r="AM56">
        <f t="shared" si="7"/>
        <v>1</v>
      </c>
      <c r="AN56" s="287">
        <v>51</v>
      </c>
      <c r="AO56" s="287" t="s">
        <v>687</v>
      </c>
      <c r="AP56" s="287" t="s">
        <v>702</v>
      </c>
      <c r="AQ56" s="287" t="s">
        <v>592</v>
      </c>
      <c r="AR56" s="288" t="s">
        <v>32</v>
      </c>
      <c r="AS56" s="287" t="s">
        <v>980</v>
      </c>
      <c r="AT56" s="287" t="str">
        <f t="shared" si="5"/>
        <v>BB282:BB288</v>
      </c>
      <c r="AU56" s="288">
        <f>ROW()</f>
        <v>56</v>
      </c>
      <c r="AV56" s="288">
        <f t="array" ref="AV56">MINA(IF(AQ56=$BA$4:$BA$401,$BD$4:$BD$401))</f>
        <v>282</v>
      </c>
      <c r="AW56" s="288">
        <f t="array" ref="AW56">MAXA(IF(AQ56=$BA$4:$BA$401,$BD$4:$BD$401))</f>
        <v>288</v>
      </c>
      <c r="AX56" s="287" t="str">
        <f t="shared" si="6"/>
        <v>ING</v>
      </c>
      <c r="BA56" s="344" t="s">
        <v>144</v>
      </c>
      <c r="BB56" s="289" t="s">
        <v>1033</v>
      </c>
      <c r="BC56" s="290">
        <f>COUNTIF(BA$4:BA56,BA56)</f>
        <v>1</v>
      </c>
      <c r="BD56" s="290">
        <f>ROW()</f>
        <v>56</v>
      </c>
      <c r="BE56" s="290">
        <f t="shared" si="1"/>
        <v>1</v>
      </c>
      <c r="BG56" t="s">
        <v>587</v>
      </c>
      <c r="BH56">
        <f t="shared" si="8"/>
        <v>1</v>
      </c>
    </row>
    <row r="57" spans="2:60" x14ac:dyDescent="0.25">
      <c r="B57" s="3">
        <f>IF(E57=1,SUM($E$49:E57),0)</f>
        <v>9</v>
      </c>
      <c r="C57" s="287" t="s">
        <v>686</v>
      </c>
      <c r="D57" s="287">
        <v>33</v>
      </c>
      <c r="E57" s="99">
        <f t="shared" si="9"/>
        <v>1</v>
      </c>
      <c r="G57" s="3" t="str">
        <f t="shared" si="10"/>
        <v>Cultura y Desarrollo Humano</v>
      </c>
      <c r="H57" s="3">
        <f t="shared" si="11"/>
        <v>33</v>
      </c>
      <c r="X57" s="3" t="s">
        <v>873</v>
      </c>
      <c r="Y57" s="3">
        <v>811</v>
      </c>
      <c r="AL57">
        <v>54</v>
      </c>
      <c r="AM57">
        <f t="shared" si="7"/>
        <v>1</v>
      </c>
      <c r="AN57" s="287">
        <v>52</v>
      </c>
      <c r="AO57" s="287" t="s">
        <v>704</v>
      </c>
      <c r="AP57" s="287" t="s">
        <v>39</v>
      </c>
      <c r="AQ57" s="287" t="s">
        <v>66</v>
      </c>
      <c r="AR57" s="288" t="s">
        <v>32</v>
      </c>
      <c r="AS57" s="287" t="s">
        <v>981</v>
      </c>
      <c r="AT57" s="287" t="str">
        <f t="shared" si="5"/>
        <v>BB4:BB5</v>
      </c>
      <c r="AU57" s="288">
        <f>ROW()</f>
        <v>57</v>
      </c>
      <c r="AV57" s="288">
        <f t="array" ref="AV57">MINA(IF(AQ57=$BA$4:$BA$401,$BD$4:$BD$401))</f>
        <v>4</v>
      </c>
      <c r="AW57" s="288">
        <f t="array" ref="AW57">MAXA(IF(AQ57=$BA$4:$BA$401,$BD$4:$BD$401))</f>
        <v>5</v>
      </c>
      <c r="AX57" s="287" t="str">
        <f t="shared" si="6"/>
        <v>MED</v>
      </c>
      <c r="BA57" s="344" t="s">
        <v>144</v>
      </c>
      <c r="BB57" s="289" t="s">
        <v>1034</v>
      </c>
      <c r="BC57" s="290">
        <f>COUNTIF(BA$4:BA57,BA57)</f>
        <v>2</v>
      </c>
      <c r="BD57" s="290">
        <f>ROW()</f>
        <v>57</v>
      </c>
      <c r="BE57" s="290">
        <f t="shared" si="1"/>
        <v>1</v>
      </c>
      <c r="BG57" t="s">
        <v>221</v>
      </c>
      <c r="BH57">
        <f t="shared" si="8"/>
        <v>1</v>
      </c>
    </row>
    <row r="58" spans="2:60" x14ac:dyDescent="0.25">
      <c r="B58" s="3">
        <f>IF(E58=1,SUM($E$49:E58),0)</f>
        <v>10</v>
      </c>
      <c r="C58" s="287" t="s">
        <v>118</v>
      </c>
      <c r="D58" s="287">
        <v>41</v>
      </c>
      <c r="E58" s="99">
        <f t="shared" si="9"/>
        <v>1</v>
      </c>
      <c r="G58" s="3" t="str">
        <f t="shared" si="10"/>
        <v>DAVINCI</v>
      </c>
      <c r="H58" s="3">
        <f t="shared" si="11"/>
        <v>41</v>
      </c>
      <c r="X58" s="3" t="s">
        <v>874</v>
      </c>
      <c r="Y58" s="3">
        <v>812</v>
      </c>
      <c r="AL58">
        <v>55</v>
      </c>
      <c r="AM58">
        <f t="shared" si="7"/>
        <v>1</v>
      </c>
      <c r="AN58" s="287">
        <v>53</v>
      </c>
      <c r="AO58" s="287" t="s">
        <v>704</v>
      </c>
      <c r="AP58" s="287" t="s">
        <v>69</v>
      </c>
      <c r="AQ58" s="287" t="s">
        <v>115</v>
      </c>
      <c r="AR58" s="288" t="s">
        <v>32</v>
      </c>
      <c r="AS58" s="287" t="s">
        <v>982</v>
      </c>
      <c r="AT58" s="287" t="str">
        <f t="shared" si="5"/>
        <v>BB21:BB22</v>
      </c>
      <c r="AU58" s="288">
        <f>ROW()</f>
        <v>58</v>
      </c>
      <c r="AV58" s="288">
        <f t="array" ref="AV58">MINA(IF(AQ58=$BA$4:$BA$401,$BD$4:$BD$401))</f>
        <v>21</v>
      </c>
      <c r="AW58" s="288">
        <f t="array" ref="AW58">MAXA(IF(AQ58=$BA$4:$BA$401,$BD$4:$BD$401))</f>
        <v>22</v>
      </c>
      <c r="AX58" s="287" t="str">
        <f t="shared" si="6"/>
        <v>MED</v>
      </c>
      <c r="BA58" s="344" t="s">
        <v>144</v>
      </c>
      <c r="BB58" s="289" t="s">
        <v>145</v>
      </c>
      <c r="BC58" s="290">
        <f>COUNTIF(BA$4:BA58,BA58)</f>
        <v>3</v>
      </c>
      <c r="BD58" s="290">
        <f>ROW()</f>
        <v>58</v>
      </c>
      <c r="BE58" s="290">
        <f t="shared" si="1"/>
        <v>1</v>
      </c>
      <c r="BG58" t="s">
        <v>232</v>
      </c>
      <c r="BH58">
        <f t="shared" si="8"/>
        <v>1</v>
      </c>
    </row>
    <row r="59" spans="2:60" x14ac:dyDescent="0.25">
      <c r="B59" s="3">
        <f>IF(E59=1,SUM($E$49:E59),0)</f>
        <v>11</v>
      </c>
      <c r="C59" s="287" t="s">
        <v>663</v>
      </c>
      <c r="D59" s="287">
        <v>4</v>
      </c>
      <c r="E59" s="99">
        <f t="shared" si="9"/>
        <v>1</v>
      </c>
      <c r="G59" s="3" t="str">
        <f t="shared" si="10"/>
        <v>Desarrollo e integración de estrategias alternativas para la protección de cultivos de importancia económica, con énfasis en control biológico.</v>
      </c>
      <c r="H59" s="3">
        <f t="shared" si="11"/>
        <v>4</v>
      </c>
      <c r="X59" s="3" t="s">
        <v>875</v>
      </c>
      <c r="Y59" s="3">
        <v>821</v>
      </c>
      <c r="AL59">
        <v>56</v>
      </c>
      <c r="AM59">
        <f t="shared" si="7"/>
        <v>1</v>
      </c>
      <c r="AN59" s="287">
        <v>54</v>
      </c>
      <c r="AO59" s="287" t="s">
        <v>704</v>
      </c>
      <c r="AP59" s="287" t="s">
        <v>983</v>
      </c>
      <c r="AQ59" s="287" t="s">
        <v>231</v>
      </c>
      <c r="AR59" s="288" t="s">
        <v>32</v>
      </c>
      <c r="AS59" s="287" t="s">
        <v>984</v>
      </c>
      <c r="AT59" s="287" t="str">
        <f t="shared" si="5"/>
        <v>BB23:BB24</v>
      </c>
      <c r="AU59" s="288">
        <f>ROW()</f>
        <v>59</v>
      </c>
      <c r="AV59" s="288">
        <f t="array" ref="AV59">MINA(IF(AQ59=$BA$4:$BA$401,$BD$4:$BD$401))</f>
        <v>23</v>
      </c>
      <c r="AW59" s="288">
        <f t="array" ref="AW59">MAXA(IF(AQ59=$BA$4:$BA$401,$BD$4:$BD$401))</f>
        <v>24</v>
      </c>
      <c r="AX59" s="287" t="str">
        <f t="shared" si="6"/>
        <v>MED</v>
      </c>
      <c r="BA59" s="344" t="s">
        <v>144</v>
      </c>
      <c r="BB59" s="289" t="s">
        <v>1035</v>
      </c>
      <c r="BC59" s="290">
        <f>COUNTIF(BA$4:BA59,BA59)</f>
        <v>4</v>
      </c>
      <c r="BD59" s="290">
        <f>ROW()</f>
        <v>59</v>
      </c>
      <c r="BE59" s="290">
        <f t="shared" si="1"/>
        <v>1</v>
      </c>
      <c r="BG59" t="s">
        <v>590</v>
      </c>
      <c r="BH59">
        <f t="shared" si="8"/>
        <v>1</v>
      </c>
    </row>
    <row r="60" spans="2:60" x14ac:dyDescent="0.25">
      <c r="B60" s="3">
        <f>IF(E60=1,SUM($E$49:E60),0)</f>
        <v>12</v>
      </c>
      <c r="C60" s="337" t="s">
        <v>935</v>
      </c>
      <c r="D60" s="337">
        <v>71</v>
      </c>
      <c r="E60" s="99">
        <f t="shared" si="9"/>
        <v>1</v>
      </c>
      <c r="G60" s="3" t="str">
        <f t="shared" si="10"/>
        <v>DIVERSITAS</v>
      </c>
      <c r="H60" s="3">
        <f t="shared" si="11"/>
        <v>71</v>
      </c>
      <c r="X60" s="3" t="s">
        <v>876</v>
      </c>
      <c r="Y60" s="3">
        <v>831</v>
      </c>
      <c r="AL60">
        <v>57</v>
      </c>
      <c r="AM60">
        <f t="shared" si="7"/>
        <v>1</v>
      </c>
      <c r="AN60" s="287">
        <v>55</v>
      </c>
      <c r="AO60" s="287" t="s">
        <v>704</v>
      </c>
      <c r="AP60" s="287" t="s">
        <v>706</v>
      </c>
      <c r="AQ60" s="287" t="s">
        <v>227</v>
      </c>
      <c r="AR60" s="288" t="s">
        <v>32</v>
      </c>
      <c r="AS60" s="287" t="s">
        <v>985</v>
      </c>
      <c r="AT60" s="287" t="str">
        <f t="shared" si="5"/>
        <v>BB51:BB55</v>
      </c>
      <c r="AU60" s="288">
        <f>ROW()</f>
        <v>60</v>
      </c>
      <c r="AV60" s="288">
        <f t="array" ref="AV60">MINA(IF(AQ60=$BA$4:$BA$401,$BD$4:$BD$401))</f>
        <v>51</v>
      </c>
      <c r="AW60" s="288">
        <f t="array" ref="AW60">MAXA(IF(AQ60=$BA$4:$BA$401,$BD$4:$BD$401))</f>
        <v>55</v>
      </c>
      <c r="AX60" s="287" t="str">
        <f t="shared" si="6"/>
        <v>MED</v>
      </c>
      <c r="BA60" s="344" t="s">
        <v>144</v>
      </c>
      <c r="BB60" s="289" t="s">
        <v>705</v>
      </c>
      <c r="BC60" s="290">
        <f>COUNTIF(BA$4:BA60,BA60)</f>
        <v>5</v>
      </c>
      <c r="BD60" s="290">
        <f>ROW()</f>
        <v>60</v>
      </c>
      <c r="BE60" s="290">
        <f t="shared" si="1"/>
        <v>1</v>
      </c>
      <c r="BG60" t="s">
        <v>591</v>
      </c>
      <c r="BH60">
        <f t="shared" si="8"/>
        <v>1</v>
      </c>
    </row>
    <row r="61" spans="2:60" x14ac:dyDescent="0.25">
      <c r="B61" s="3">
        <f>IF(E61=1,SUM($E$49:E61),0)</f>
        <v>13</v>
      </c>
      <c r="C61" s="287" t="s">
        <v>672</v>
      </c>
      <c r="D61" s="287">
        <v>13</v>
      </c>
      <c r="E61" s="99">
        <f t="shared" si="9"/>
        <v>1</v>
      </c>
      <c r="G61" s="3" t="str">
        <f t="shared" si="10"/>
        <v>ECMU (Evaluacion en Competencias y Matemáticas Universitarias)</v>
      </c>
      <c r="H61" s="3">
        <f t="shared" si="11"/>
        <v>13</v>
      </c>
      <c r="X61" s="3" t="s">
        <v>877</v>
      </c>
      <c r="Y61" s="3">
        <v>841</v>
      </c>
      <c r="AL61">
        <v>58</v>
      </c>
      <c r="AM61">
        <f t="shared" si="7"/>
        <v>1</v>
      </c>
      <c r="AN61" s="287">
        <v>56</v>
      </c>
      <c r="AO61" s="287" t="s">
        <v>704</v>
      </c>
      <c r="AP61" s="287" t="s">
        <v>101</v>
      </c>
      <c r="AQ61" s="287" t="s">
        <v>151</v>
      </c>
      <c r="AR61" s="288" t="s">
        <v>676</v>
      </c>
      <c r="AS61" s="287" t="s">
        <v>986</v>
      </c>
      <c r="AT61" s="287" t="str">
        <f t="shared" si="5"/>
        <v>BB66:BB68</v>
      </c>
      <c r="AU61" s="288">
        <f>ROW()</f>
        <v>61</v>
      </c>
      <c r="AV61" s="288">
        <f t="array" ref="AV61">MINA(IF(AQ61=$BA$4:$BA$401,$BD$4:$BD$401))</f>
        <v>66</v>
      </c>
      <c r="AW61" s="288">
        <f t="array" ref="AW61">MAXA(IF(AQ61=$BA$4:$BA$401,$BD$4:$BD$401))</f>
        <v>68</v>
      </c>
      <c r="AX61" s="287" t="str">
        <f t="shared" si="6"/>
        <v>MED</v>
      </c>
      <c r="BA61" s="344" t="s">
        <v>146</v>
      </c>
      <c r="BB61" s="289" t="s">
        <v>572</v>
      </c>
      <c r="BC61" s="290">
        <f>COUNTIF(BA$4:BA61,BA61)</f>
        <v>1</v>
      </c>
      <c r="BD61" s="290">
        <f>ROW()</f>
        <v>61</v>
      </c>
      <c r="BE61" s="290">
        <f t="shared" si="1"/>
        <v>1</v>
      </c>
      <c r="BG61" t="s">
        <v>175</v>
      </c>
      <c r="BH61">
        <f t="shared" si="8"/>
        <v>1</v>
      </c>
    </row>
    <row r="62" spans="2:60" x14ac:dyDescent="0.25">
      <c r="B62" s="3">
        <f>IF(E62=1,SUM($E$49:E62),0)</f>
        <v>14</v>
      </c>
      <c r="C62" s="287" t="s">
        <v>623</v>
      </c>
      <c r="D62" s="287">
        <v>66</v>
      </c>
      <c r="E62" s="99">
        <f t="shared" si="9"/>
        <v>1</v>
      </c>
      <c r="G62" s="3" t="str">
        <f t="shared" si="10"/>
        <v>EDUMECIS</v>
      </c>
      <c r="H62" s="3">
        <f t="shared" si="11"/>
        <v>66</v>
      </c>
      <c r="X62" s="3" t="s">
        <v>878</v>
      </c>
      <c r="Y62" s="3">
        <v>911</v>
      </c>
      <c r="AL62">
        <v>59</v>
      </c>
      <c r="AM62">
        <f t="shared" si="7"/>
        <v>1</v>
      </c>
      <c r="AN62" s="287">
        <v>57</v>
      </c>
      <c r="AO62" s="287" t="s">
        <v>704</v>
      </c>
      <c r="AP62" s="287" t="s">
        <v>621</v>
      </c>
      <c r="AQ62" s="287" t="s">
        <v>622</v>
      </c>
      <c r="AR62" s="288" t="s">
        <v>22</v>
      </c>
      <c r="AS62" s="287" t="s">
        <v>987</v>
      </c>
      <c r="AT62" s="287" t="str">
        <f t="shared" si="5"/>
        <v>BB89:BB101</v>
      </c>
      <c r="AU62" s="288">
        <f>ROW()</f>
        <v>62</v>
      </c>
      <c r="AV62" s="288">
        <f t="array" ref="AV62">MINA(IF(AQ62=$BA$4:$BA$401,$BD$4:$BD$401))</f>
        <v>89</v>
      </c>
      <c r="AW62" s="288">
        <f t="array" ref="AW62">MAXA(IF(AQ62=$BA$4:$BA$401,$BD$4:$BD$401))</f>
        <v>101</v>
      </c>
      <c r="AX62" s="287" t="str">
        <f t="shared" si="6"/>
        <v>MED</v>
      </c>
      <c r="BA62" s="344" t="s">
        <v>146</v>
      </c>
      <c r="BB62" s="289" t="s">
        <v>707</v>
      </c>
      <c r="BC62" s="290">
        <f>COUNTIF(BA$4:BA62,BA62)</f>
        <v>2</v>
      </c>
      <c r="BD62" s="290">
        <f>ROW()</f>
        <v>62</v>
      </c>
      <c r="BE62" s="290">
        <f t="shared" si="1"/>
        <v>1</v>
      </c>
      <c r="BG62" t="s">
        <v>124</v>
      </c>
      <c r="BH62">
        <f t="shared" si="8"/>
        <v>1</v>
      </c>
    </row>
    <row r="63" spans="2:60" x14ac:dyDescent="0.25">
      <c r="B63" s="3">
        <f>IF(E63=1,SUM($E$49:E63),0)</f>
        <v>15</v>
      </c>
      <c r="C63" s="287" t="s">
        <v>697</v>
      </c>
      <c r="D63" s="287">
        <v>48</v>
      </c>
      <c r="E63" s="99">
        <f t="shared" si="9"/>
        <v>1</v>
      </c>
      <c r="G63" s="3" t="str">
        <f t="shared" si="10"/>
        <v>Energia alternativa, Centro Multidisciplinario de Investigación</v>
      </c>
      <c r="H63" s="3">
        <f t="shared" si="11"/>
        <v>48</v>
      </c>
      <c r="X63" s="3" t="s">
        <v>879</v>
      </c>
      <c r="Y63" s="3">
        <v>912</v>
      </c>
      <c r="AL63">
        <v>60</v>
      </c>
      <c r="AM63">
        <f t="shared" si="7"/>
        <v>1</v>
      </c>
      <c r="AN63" s="287">
        <v>58</v>
      </c>
      <c r="AO63" s="287" t="s">
        <v>704</v>
      </c>
      <c r="AP63" s="287" t="s">
        <v>709</v>
      </c>
      <c r="AQ63" s="287" t="s">
        <v>228</v>
      </c>
      <c r="AR63" s="288" t="s">
        <v>32</v>
      </c>
      <c r="AS63" s="287" t="s">
        <v>988</v>
      </c>
      <c r="AT63" s="287" t="str">
        <f t="shared" si="5"/>
        <v>BB102:BB106</v>
      </c>
      <c r="AU63" s="288">
        <f>ROW()</f>
        <v>63</v>
      </c>
      <c r="AV63" s="288">
        <f t="array" ref="AV63">MINA(IF(AQ63=$BA$4:$BA$401,$BD$4:$BD$401))</f>
        <v>102</v>
      </c>
      <c r="AW63" s="288">
        <f t="array" ref="AW63">MAXA(IF(AQ63=$BA$4:$BA$401,$BD$4:$BD$401))</f>
        <v>106</v>
      </c>
      <c r="AX63" s="287" t="str">
        <f t="shared" si="6"/>
        <v>MED</v>
      </c>
      <c r="BA63" s="344" t="s">
        <v>146</v>
      </c>
      <c r="BB63" s="289" t="s">
        <v>708</v>
      </c>
      <c r="BC63" s="290">
        <f>COUNTIF(BA$4:BA63,BA63)</f>
        <v>3</v>
      </c>
      <c r="BD63" s="290">
        <f>ROW()</f>
        <v>63</v>
      </c>
      <c r="BE63" s="290">
        <f t="shared" si="1"/>
        <v>1</v>
      </c>
      <c r="BG63" t="s">
        <v>180</v>
      </c>
      <c r="BH63">
        <f t="shared" si="8"/>
        <v>1</v>
      </c>
    </row>
    <row r="64" spans="2:60" x14ac:dyDescent="0.25">
      <c r="B64" s="3">
        <f>IF(E64=1,SUM($E$49:E64),0)</f>
        <v>16</v>
      </c>
      <c r="C64" s="287" t="s">
        <v>715</v>
      </c>
      <c r="D64" s="287">
        <v>64</v>
      </c>
      <c r="E64" s="99">
        <f t="shared" si="9"/>
        <v>1</v>
      </c>
      <c r="G64" s="3" t="str">
        <f t="shared" si="10"/>
        <v>Epidemiología molecular de enfermedades endocrinas</v>
      </c>
      <c r="H64" s="3">
        <f t="shared" si="11"/>
        <v>64</v>
      </c>
      <c r="X64" s="3" t="s">
        <v>880</v>
      </c>
      <c r="Y64" s="3">
        <v>913</v>
      </c>
      <c r="AL64">
        <v>61</v>
      </c>
      <c r="AM64">
        <f t="shared" si="7"/>
        <v>1</v>
      </c>
      <c r="AN64" s="287">
        <v>59</v>
      </c>
      <c r="AO64" s="287" t="s">
        <v>704</v>
      </c>
      <c r="AP64" s="287" t="s">
        <v>143</v>
      </c>
      <c r="AQ64" s="287" t="s">
        <v>219</v>
      </c>
      <c r="AR64" s="288" t="s">
        <v>32</v>
      </c>
      <c r="AS64" s="287" t="s">
        <v>989</v>
      </c>
      <c r="AT64" s="287" t="str">
        <f t="shared" si="5"/>
        <v>BB150:BB153</v>
      </c>
      <c r="AU64" s="288">
        <f>ROW()</f>
        <v>64</v>
      </c>
      <c r="AV64" s="288">
        <f t="array" ref="AV64">MINA(IF(AQ64=$BA$4:$BA$401,$BD$4:$BD$401))</f>
        <v>150</v>
      </c>
      <c r="AW64" s="288">
        <f t="array" ref="AW64">MAXA(IF(AQ64=$BA$4:$BA$401,$BD$4:$BD$401))</f>
        <v>153</v>
      </c>
      <c r="AX64" s="287" t="str">
        <f t="shared" si="6"/>
        <v>MED</v>
      </c>
      <c r="BA64" s="344" t="s">
        <v>148</v>
      </c>
      <c r="BB64" s="289" t="s">
        <v>710</v>
      </c>
      <c r="BC64" s="290">
        <f>COUNTIF(BA$4:BA64,BA64)</f>
        <v>1</v>
      </c>
      <c r="BD64" s="290">
        <f>ROW()</f>
        <v>64</v>
      </c>
      <c r="BE64" s="290">
        <f t="shared" si="1"/>
        <v>1</v>
      </c>
      <c r="BG64" t="s">
        <v>159</v>
      </c>
      <c r="BH64">
        <f t="shared" si="8"/>
        <v>1</v>
      </c>
    </row>
    <row r="65" spans="2:60" x14ac:dyDescent="0.25">
      <c r="B65" s="3">
        <f>IF(E65=1,SUM($E$49:E65),0)</f>
        <v>17</v>
      </c>
      <c r="C65" s="348" t="s">
        <v>719</v>
      </c>
      <c r="D65" s="287">
        <v>70</v>
      </c>
      <c r="E65" s="99">
        <f t="shared" si="9"/>
        <v>1</v>
      </c>
      <c r="G65" s="3" t="str">
        <f t="shared" si="10"/>
        <v xml:space="preserve">Epidemiología y Salud Colectiva </v>
      </c>
      <c r="H65" s="3">
        <f t="shared" si="11"/>
        <v>70</v>
      </c>
      <c r="X65" s="3" t="s">
        <v>881</v>
      </c>
      <c r="Y65" s="3">
        <v>914</v>
      </c>
      <c r="AL65">
        <v>62</v>
      </c>
      <c r="AM65">
        <f t="shared" si="7"/>
        <v>1</v>
      </c>
      <c r="AN65" s="287">
        <v>60</v>
      </c>
      <c r="AO65" s="287" t="s">
        <v>704</v>
      </c>
      <c r="AP65" s="340" t="s">
        <v>990</v>
      </c>
      <c r="AQ65" s="287" t="s">
        <v>221</v>
      </c>
      <c r="AR65" s="288" t="s">
        <v>32</v>
      </c>
      <c r="AS65" s="287" t="s">
        <v>991</v>
      </c>
      <c r="AT65" s="287" t="str">
        <f t="shared" si="5"/>
        <v>BB154:BB156</v>
      </c>
      <c r="AU65" s="288">
        <f>ROW()</f>
        <v>65</v>
      </c>
      <c r="AV65" s="288">
        <f t="array" ref="AV65">MINA(IF(AQ65=$BA$4:$BA$401,$BD$4:$BD$401))</f>
        <v>154</v>
      </c>
      <c r="AW65" s="288">
        <f t="array" ref="AW65">MAXA(IF(AQ65=$BA$4:$BA$401,$BD$4:$BD$401))</f>
        <v>156</v>
      </c>
      <c r="AX65" s="287" t="str">
        <f t="shared" si="6"/>
        <v>MED</v>
      </c>
      <c r="BA65" s="344" t="s">
        <v>148</v>
      </c>
      <c r="BB65" s="289" t="s">
        <v>711</v>
      </c>
      <c r="BC65" s="290">
        <f>COUNTIF(BA$4:BA65,BA65)</f>
        <v>2</v>
      </c>
      <c r="BD65" s="290">
        <f>ROW()</f>
        <v>65</v>
      </c>
      <c r="BE65" s="290">
        <f t="shared" si="1"/>
        <v>1</v>
      </c>
      <c r="BG65" t="s">
        <v>158</v>
      </c>
      <c r="BH65">
        <f t="shared" si="8"/>
        <v>1</v>
      </c>
    </row>
    <row r="66" spans="2:60" x14ac:dyDescent="0.25">
      <c r="B66" s="3">
        <f>IF(E66=1,SUM($E$49:E66),0)</f>
        <v>18</v>
      </c>
      <c r="C66" s="287" t="s">
        <v>603</v>
      </c>
      <c r="D66" s="287">
        <v>7</v>
      </c>
      <c r="E66" s="99">
        <f t="shared" si="9"/>
        <v>1</v>
      </c>
      <c r="G66" s="3" t="str">
        <f t="shared" si="10"/>
        <v>Estadística, Control y Optimización</v>
      </c>
      <c r="H66" s="3">
        <f t="shared" si="11"/>
        <v>7</v>
      </c>
      <c r="X66" s="3" t="s">
        <v>882</v>
      </c>
      <c r="Y66" s="3">
        <v>915</v>
      </c>
      <c r="AL66">
        <v>63</v>
      </c>
      <c r="AM66">
        <f t="shared" si="7"/>
        <v>1</v>
      </c>
      <c r="AN66" s="287">
        <v>61</v>
      </c>
      <c r="AO66" s="287" t="s">
        <v>704</v>
      </c>
      <c r="AP66" s="287" t="s">
        <v>712</v>
      </c>
      <c r="AQ66" s="287" t="s">
        <v>222</v>
      </c>
      <c r="AR66" s="288" t="s">
        <v>32</v>
      </c>
      <c r="AS66" s="287" t="s">
        <v>992</v>
      </c>
      <c r="AT66" s="287" t="str">
        <f t="shared" si="5"/>
        <v>BB186:BB192</v>
      </c>
      <c r="AU66" s="288">
        <f>ROW()</f>
        <v>66</v>
      </c>
      <c r="AV66" s="288">
        <f t="array" ref="AV66">MINA(IF(AQ66=$BA$4:$BA$401,$BD$4:$BD$401))</f>
        <v>186</v>
      </c>
      <c r="AW66" s="288">
        <f t="array" ref="AW66">MAXA(IF(AQ66=$BA$4:$BA$401,$BD$4:$BD$401))</f>
        <v>192</v>
      </c>
      <c r="AX66" s="287" t="str">
        <f t="shared" si="6"/>
        <v>MED</v>
      </c>
      <c r="BA66" s="344" t="s">
        <v>151</v>
      </c>
      <c r="BB66" s="289" t="s">
        <v>152</v>
      </c>
      <c r="BC66" s="290">
        <f>COUNTIF(BA$4:BA66,BA66)</f>
        <v>1</v>
      </c>
      <c r="BD66" s="290">
        <f>ROW()</f>
        <v>66</v>
      </c>
      <c r="BE66" s="290">
        <f t="shared" si="1"/>
        <v>1</v>
      </c>
      <c r="BG66" t="s">
        <v>104</v>
      </c>
      <c r="BH66">
        <f t="shared" si="8"/>
        <v>1</v>
      </c>
    </row>
    <row r="67" spans="2:60" x14ac:dyDescent="0.25">
      <c r="B67" s="3">
        <f>IF(E67=1,SUM($E$49:E67),0)</f>
        <v>19</v>
      </c>
      <c r="C67" s="287" t="s">
        <v>693</v>
      </c>
      <c r="D67" s="287">
        <v>42</v>
      </c>
      <c r="E67" s="99">
        <f t="shared" si="9"/>
        <v>1</v>
      </c>
      <c r="G67" s="3" t="str">
        <f t="shared" si="10"/>
        <v>Estructuras y sísmica</v>
      </c>
      <c r="H67" s="3">
        <f t="shared" si="11"/>
        <v>42</v>
      </c>
      <c r="X67" s="3" t="s">
        <v>883</v>
      </c>
      <c r="Y67" s="3">
        <v>916</v>
      </c>
      <c r="AL67">
        <v>64</v>
      </c>
      <c r="AM67">
        <f t="shared" si="7"/>
        <v>1</v>
      </c>
      <c r="AN67" s="287">
        <v>62</v>
      </c>
      <c r="AO67" s="287" t="s">
        <v>704</v>
      </c>
      <c r="AP67" s="340" t="s">
        <v>993</v>
      </c>
      <c r="AQ67" s="287" t="s">
        <v>614</v>
      </c>
      <c r="AR67" s="288" t="s">
        <v>676</v>
      </c>
      <c r="AS67" s="287" t="s">
        <v>994</v>
      </c>
      <c r="AT67" s="287" t="str">
        <f t="shared" si="5"/>
        <v>BB193:BB197</v>
      </c>
      <c r="AU67" s="288">
        <f>ROW()</f>
        <v>67</v>
      </c>
      <c r="AV67" s="288">
        <f t="array" ref="AV67">MINA(IF(AQ67=$BA$4:$BA$401,$BD$4:$BD$401))</f>
        <v>193</v>
      </c>
      <c r="AW67" s="288">
        <f t="array" ref="AW67">MAXA(IF(AQ67=$BA$4:$BA$401,$BD$4:$BD$401))</f>
        <v>197</v>
      </c>
      <c r="AX67" s="287" t="str">
        <f t="shared" si="6"/>
        <v>MED</v>
      </c>
      <c r="BA67" s="344" t="s">
        <v>151</v>
      </c>
      <c r="BB67" s="289" t="s">
        <v>713</v>
      </c>
      <c r="BC67" s="290">
        <f>COUNTIF(BA$4:BA67,BA67)</f>
        <v>2</v>
      </c>
      <c r="BD67" s="290">
        <f>ROW()</f>
        <v>67</v>
      </c>
      <c r="BE67" s="290">
        <f t="shared" si="1"/>
        <v>1</v>
      </c>
      <c r="BG67" t="s">
        <v>593</v>
      </c>
      <c r="BH67">
        <f t="shared" si="8"/>
        <v>1</v>
      </c>
    </row>
    <row r="68" spans="2:60" x14ac:dyDescent="0.25">
      <c r="B68" s="3">
        <f>IF(E68=1,SUM($E$49:E68),0)</f>
        <v>20</v>
      </c>
      <c r="C68" s="287" t="s">
        <v>106</v>
      </c>
      <c r="D68" s="287">
        <v>29</v>
      </c>
      <c r="E68" s="99">
        <f t="shared" si="9"/>
        <v>1</v>
      </c>
      <c r="G68" s="3" t="str">
        <f t="shared" si="10"/>
        <v>Estudios Internacionales y Políticos</v>
      </c>
      <c r="H68" s="3">
        <f t="shared" si="11"/>
        <v>29</v>
      </c>
      <c r="X68" s="3" t="s">
        <v>884</v>
      </c>
      <c r="Y68" s="3">
        <v>917</v>
      </c>
      <c r="AL68">
        <v>65</v>
      </c>
      <c r="AM68">
        <f t="shared" ref="AM68:AM71" si="12">COUNTIF($AN$4:$AN$73,AL68)</f>
        <v>1</v>
      </c>
      <c r="AN68" s="287">
        <v>63</v>
      </c>
      <c r="AO68" s="287" t="s">
        <v>704</v>
      </c>
      <c r="AP68" s="287" t="s">
        <v>149</v>
      </c>
      <c r="AQ68" s="287" t="s">
        <v>235</v>
      </c>
      <c r="AR68" s="288" t="s">
        <v>32</v>
      </c>
      <c r="AS68" s="341" t="s">
        <v>995</v>
      </c>
      <c r="AT68" s="287" t="str">
        <f t="shared" si="5"/>
        <v>BB200:BB205</v>
      </c>
      <c r="AU68" s="288">
        <f>ROW()</f>
        <v>68</v>
      </c>
      <c r="AV68" s="288">
        <f t="array" ref="AV68">MINA(IF(AQ68=$BA$4:$BA$401,$BD$4:$BD$401))</f>
        <v>200</v>
      </c>
      <c r="AW68" s="288">
        <f t="array" ref="AW68">MAXA(IF(AQ68=$BA$4:$BA$401,$BD$4:$BD$401))</f>
        <v>205</v>
      </c>
      <c r="AX68" s="287" t="str">
        <f t="shared" si="6"/>
        <v>MED</v>
      </c>
      <c r="BA68" s="344" t="s">
        <v>151</v>
      </c>
      <c r="BB68" s="289" t="s">
        <v>153</v>
      </c>
      <c r="BC68" s="290">
        <f>COUNTIF(BA$4:BA68,BA68)</f>
        <v>3</v>
      </c>
      <c r="BD68" s="290">
        <f>ROW()</f>
        <v>68</v>
      </c>
      <c r="BE68" s="290">
        <f t="shared" ref="BE68:BE131" si="13">COUNTIF($AQ$3:$AQ$83,BA68)</f>
        <v>1</v>
      </c>
      <c r="BG68" t="s">
        <v>595</v>
      </c>
      <c r="BH68">
        <f t="shared" ref="BH68:BH75" si="14">COUNTIF($AQ$4:$AQ$73,BG68)</f>
        <v>1</v>
      </c>
    </row>
    <row r="69" spans="2:60" x14ac:dyDescent="0.25">
      <c r="B69" s="3">
        <f>IF(E69=1,SUM($E$49:E69),0)</f>
        <v>21</v>
      </c>
      <c r="C69" s="287" t="s">
        <v>667</v>
      </c>
      <c r="D69" s="287">
        <v>6</v>
      </c>
      <c r="E69" s="99">
        <f t="shared" si="9"/>
        <v>1</v>
      </c>
      <c r="G69" s="3" t="str">
        <f t="shared" si="10"/>
        <v>Fitopatologia molecular</v>
      </c>
      <c r="H69" s="3">
        <f t="shared" si="11"/>
        <v>6</v>
      </c>
      <c r="X69" s="3" t="s">
        <v>885</v>
      </c>
      <c r="Y69" s="3">
        <v>921</v>
      </c>
      <c r="AL69">
        <v>66</v>
      </c>
      <c r="AM69">
        <f t="shared" si="12"/>
        <v>1</v>
      </c>
      <c r="AN69" s="287">
        <v>64</v>
      </c>
      <c r="AO69" s="287" t="s">
        <v>704</v>
      </c>
      <c r="AP69" s="287" t="s">
        <v>715</v>
      </c>
      <c r="AQ69" s="287" t="s">
        <v>210</v>
      </c>
      <c r="AR69" s="288" t="s">
        <v>676</v>
      </c>
      <c r="AS69" s="287" t="s">
        <v>996</v>
      </c>
      <c r="AT69" s="287" t="str">
        <f t="shared" si="5"/>
        <v>BB213:BB215</v>
      </c>
      <c r="AU69" s="288">
        <f>ROW()</f>
        <v>69</v>
      </c>
      <c r="AV69" s="288">
        <f t="array" ref="AV69">MINA(IF(AQ69=$BA$4:$BA$401,$BD$4:$BD$401))</f>
        <v>213</v>
      </c>
      <c r="AW69" s="288">
        <f t="array" ref="AW69">MAXA(IF(AQ69=$BA$4:$BA$401,$BD$4:$BD$401))</f>
        <v>215</v>
      </c>
      <c r="AX69" s="287" t="str">
        <f t="shared" si="6"/>
        <v>MED</v>
      </c>
      <c r="BA69" s="344" t="s">
        <v>154</v>
      </c>
      <c r="BB69" s="289" t="s">
        <v>714</v>
      </c>
      <c r="BC69" s="290">
        <f>COUNTIF(BA$4:BA69,BA69)</f>
        <v>1</v>
      </c>
      <c r="BD69" s="290">
        <f>ROW()</f>
        <v>69</v>
      </c>
      <c r="BE69" s="290">
        <f t="shared" si="13"/>
        <v>1</v>
      </c>
      <c r="BG69" t="s">
        <v>810</v>
      </c>
      <c r="BH69">
        <f t="shared" si="14"/>
        <v>0</v>
      </c>
    </row>
    <row r="70" spans="2:60" x14ac:dyDescent="0.25">
      <c r="B70" s="3">
        <f>IF(E70=1,SUM($E$49:E70),0)</f>
        <v>22</v>
      </c>
      <c r="C70" s="287" t="s">
        <v>57</v>
      </c>
      <c r="D70" s="287">
        <v>1</v>
      </c>
      <c r="E70" s="99">
        <f t="shared" si="9"/>
        <v>1</v>
      </c>
      <c r="G70" s="3" t="str">
        <f t="shared" si="10"/>
        <v>Fitoplasmas y Virus</v>
      </c>
      <c r="H70" s="3">
        <f t="shared" si="11"/>
        <v>1</v>
      </c>
      <c r="X70" s="3" t="s">
        <v>886</v>
      </c>
      <c r="Y70" s="3">
        <v>922</v>
      </c>
      <c r="AL70">
        <v>67</v>
      </c>
      <c r="AM70">
        <f t="shared" si="12"/>
        <v>1</v>
      </c>
      <c r="AN70" s="287">
        <v>65</v>
      </c>
      <c r="AO70" s="287" t="s">
        <v>704</v>
      </c>
      <c r="AP70" s="287" t="s">
        <v>133</v>
      </c>
      <c r="AQ70" s="287" t="s">
        <v>205</v>
      </c>
      <c r="AR70" s="288" t="s">
        <v>32</v>
      </c>
      <c r="AS70" s="287" t="s">
        <v>997</v>
      </c>
      <c r="AT70" s="287" t="str">
        <f t="shared" si="5"/>
        <v>BB231:BB239</v>
      </c>
      <c r="AU70" s="288">
        <f>ROW()</f>
        <v>70</v>
      </c>
      <c r="AV70" s="288">
        <f t="array" ref="AV70">MINA(IF(AQ70=$BA$4:$BA$401,$BD$4:$BD$401))</f>
        <v>231</v>
      </c>
      <c r="AW70" s="288">
        <f t="array" ref="AW70">MAXA(IF(AQ70=$BA$4:$BA$401,$BD$4:$BD$401))</f>
        <v>239</v>
      </c>
      <c r="AX70" s="287" t="str">
        <f t="shared" si="6"/>
        <v>MED</v>
      </c>
      <c r="BA70" s="344" t="s">
        <v>154</v>
      </c>
      <c r="BB70" s="289" t="s">
        <v>716</v>
      </c>
      <c r="BC70" s="290">
        <f>COUNTIF(BA$4:BA70,BA70)</f>
        <v>2</v>
      </c>
      <c r="BD70" s="290">
        <f>ROW()</f>
        <v>70</v>
      </c>
      <c r="BE70" s="290">
        <f t="shared" si="13"/>
        <v>1</v>
      </c>
      <c r="BG70" t="s">
        <v>620</v>
      </c>
      <c r="BH70">
        <f t="shared" si="14"/>
        <v>0</v>
      </c>
    </row>
    <row r="71" spans="2:60" x14ac:dyDescent="0.25">
      <c r="B71" s="3">
        <f>IF(E71=1,SUM($E$49:E71),0)</f>
        <v>23</v>
      </c>
      <c r="C71" s="287" t="s">
        <v>568</v>
      </c>
      <c r="D71" s="287">
        <v>68</v>
      </c>
      <c r="E71" s="99">
        <f t="shared" si="9"/>
        <v>1</v>
      </c>
      <c r="G71" s="3" t="str">
        <f t="shared" si="10"/>
        <v>GAFRED</v>
      </c>
      <c r="H71" s="3">
        <f t="shared" si="11"/>
        <v>68</v>
      </c>
      <c r="X71" s="3" t="s">
        <v>887</v>
      </c>
      <c r="Y71" s="3">
        <v>923</v>
      </c>
      <c r="AL71">
        <v>68</v>
      </c>
      <c r="AM71">
        <f t="shared" si="12"/>
        <v>1</v>
      </c>
      <c r="AN71" s="287">
        <v>66</v>
      </c>
      <c r="AO71" s="287" t="s">
        <v>704</v>
      </c>
      <c r="AP71" s="287" t="s">
        <v>623</v>
      </c>
      <c r="AQ71" s="287" t="s">
        <v>624</v>
      </c>
      <c r="AR71" s="288" t="s">
        <v>638</v>
      </c>
      <c r="AS71" s="287" t="s">
        <v>998</v>
      </c>
      <c r="AT71" s="287" t="str">
        <f t="shared" si="5"/>
        <v>BB253:BB255</v>
      </c>
      <c r="AU71" s="288">
        <f>ROW()</f>
        <v>71</v>
      </c>
      <c r="AV71" s="288">
        <f t="array" ref="AV71">MINA(IF(AQ71=$BA$4:$BA$401,$BD$4:$BD$401))</f>
        <v>253</v>
      </c>
      <c r="AW71" s="288">
        <f t="array" ref="AW71">MAXA(IF(AQ71=$BA$4:$BA$401,$BD$4:$BD$401))</f>
        <v>255</v>
      </c>
      <c r="AX71" s="287" t="str">
        <f t="shared" si="6"/>
        <v>MED</v>
      </c>
      <c r="BA71" s="344" t="s">
        <v>154</v>
      </c>
      <c r="BB71" s="289" t="s">
        <v>716</v>
      </c>
      <c r="BC71" s="290">
        <f>COUNTIF(BA$4:BA71,BA71)</f>
        <v>3</v>
      </c>
      <c r="BD71" s="290">
        <f>ROW()</f>
        <v>71</v>
      </c>
      <c r="BE71" s="290">
        <f t="shared" si="13"/>
        <v>1</v>
      </c>
      <c r="BG71" t="s">
        <v>610</v>
      </c>
      <c r="BH71">
        <f t="shared" si="14"/>
        <v>0</v>
      </c>
    </row>
    <row r="72" spans="2:60" x14ac:dyDescent="0.25">
      <c r="B72" s="3">
        <f>IF(E72=1,SUM($E$49:E72),0)</f>
        <v>24</v>
      </c>
      <c r="C72" s="287" t="s">
        <v>132</v>
      </c>
      <c r="D72" s="287">
        <v>47</v>
      </c>
      <c r="E72" s="99">
        <f t="shared" si="9"/>
        <v>1</v>
      </c>
      <c r="G72" s="3" t="str">
        <f t="shared" si="10"/>
        <v>GAV</v>
      </c>
      <c r="H72" s="3">
        <f t="shared" si="11"/>
        <v>47</v>
      </c>
      <c r="X72" s="3" t="s">
        <v>888</v>
      </c>
      <c r="Y72" s="3">
        <v>1011</v>
      </c>
      <c r="AL72">
        <v>69</v>
      </c>
      <c r="AM72">
        <f t="shared" ref="AM72:AM76" si="15">COUNTIF($AN$4:$AN$73,AL72)</f>
        <v>0</v>
      </c>
      <c r="AN72" s="287">
        <v>67</v>
      </c>
      <c r="AO72" s="287" t="s">
        <v>704</v>
      </c>
      <c r="AP72" s="287" t="s">
        <v>611</v>
      </c>
      <c r="AQ72" s="287" t="s">
        <v>612</v>
      </c>
      <c r="AR72" s="288" t="s">
        <v>32</v>
      </c>
      <c r="AS72" s="287" t="s">
        <v>999</v>
      </c>
      <c r="AT72" s="287" t="str">
        <f t="shared" si="5"/>
        <v>BB260:BB263</v>
      </c>
      <c r="AU72" s="288">
        <f>ROW()</f>
        <v>72</v>
      </c>
      <c r="AV72" s="288">
        <f t="array" ref="AV72">MINA(IF(AQ72=$BA$4:$BA$401,$BD$4:$BD$401))</f>
        <v>260</v>
      </c>
      <c r="AW72" s="288">
        <f t="array" ref="AW72">MAXA(IF(AQ72=$BA$4:$BA$401,$BD$4:$BD$401))</f>
        <v>263</v>
      </c>
      <c r="AX72" s="287" t="str">
        <f t="shared" si="6"/>
        <v>MED</v>
      </c>
      <c r="BA72" s="344" t="s">
        <v>154</v>
      </c>
      <c r="BB72" s="289" t="s">
        <v>717</v>
      </c>
      <c r="BC72" s="290">
        <f>COUNTIF(BA$4:BA72,BA72)</f>
        <v>4</v>
      </c>
      <c r="BD72" s="290">
        <f>ROW()</f>
        <v>72</v>
      </c>
      <c r="BE72" s="290">
        <f t="shared" si="13"/>
        <v>1</v>
      </c>
      <c r="BG72" t="s">
        <v>624</v>
      </c>
      <c r="BH72">
        <f t="shared" si="14"/>
        <v>1</v>
      </c>
    </row>
    <row r="73" spans="2:60" x14ac:dyDescent="0.25">
      <c r="B73" s="3">
        <f>IF(E73=1,SUM($E$49:E73),0)</f>
        <v>25</v>
      </c>
      <c r="C73" s="287" t="s">
        <v>683</v>
      </c>
      <c r="D73" s="287">
        <v>28</v>
      </c>
      <c r="E73" s="99">
        <f t="shared" si="9"/>
        <v>1</v>
      </c>
      <c r="G73" s="3" t="str">
        <f t="shared" si="10"/>
        <v>GECS (Grupo de Investigación en Contabilidad y Sociedad)</v>
      </c>
      <c r="H73" s="3">
        <f t="shared" si="11"/>
        <v>28</v>
      </c>
      <c r="X73" s="3" t="s">
        <v>889</v>
      </c>
      <c r="Y73" s="3">
        <v>1012</v>
      </c>
      <c r="AL73">
        <v>70</v>
      </c>
      <c r="AM73">
        <f t="shared" si="15"/>
        <v>0</v>
      </c>
      <c r="AN73" s="287">
        <v>68</v>
      </c>
      <c r="AO73" s="287" t="s">
        <v>704</v>
      </c>
      <c r="AP73" s="287" t="s">
        <v>568</v>
      </c>
      <c r="AQ73" s="287" t="s">
        <v>593</v>
      </c>
      <c r="AR73" s="288" t="s">
        <v>638</v>
      </c>
      <c r="AS73" s="287" t="s">
        <v>1000</v>
      </c>
      <c r="AT73" s="287" t="str">
        <f t="shared" si="5"/>
        <v>BB279:BB281</v>
      </c>
      <c r="AU73" s="288">
        <f>ROW()</f>
        <v>73</v>
      </c>
      <c r="AV73" s="288">
        <f t="array" ref="AV73">MINA(IF(AQ73=$BA$4:$BA$401,$BD$4:$BD$401))</f>
        <v>279</v>
      </c>
      <c r="AW73" s="288">
        <f t="array" ref="AW73">MAXA(IF(AQ73=$BA$4:$BA$401,$BD$4:$BD$401))</f>
        <v>281</v>
      </c>
      <c r="AX73" s="287" t="str">
        <f t="shared" si="6"/>
        <v>MED</v>
      </c>
      <c r="BA73" s="344" t="s">
        <v>155</v>
      </c>
      <c r="BB73" s="289" t="s">
        <v>1036</v>
      </c>
      <c r="BC73" s="290">
        <f>COUNTIF(BA$4:BA73,BA73)</f>
        <v>1</v>
      </c>
      <c r="BD73" s="290">
        <f>ROW()</f>
        <v>73</v>
      </c>
      <c r="BE73" s="290">
        <f t="shared" si="13"/>
        <v>1</v>
      </c>
      <c r="BG73" t="s">
        <v>622</v>
      </c>
      <c r="BH73">
        <f t="shared" si="14"/>
        <v>1</v>
      </c>
    </row>
    <row r="74" spans="2:60" x14ac:dyDescent="0.25">
      <c r="B74" s="3">
        <f>IF(E74=1,SUM($E$49:E74),0)</f>
        <v>26</v>
      </c>
      <c r="C74" s="287" t="s">
        <v>75</v>
      </c>
      <c r="D74" s="287">
        <v>36</v>
      </c>
      <c r="E74" s="99">
        <f t="shared" si="9"/>
        <v>1</v>
      </c>
      <c r="G74" s="3" t="str">
        <f t="shared" si="10"/>
        <v>GEOTECNIA</v>
      </c>
      <c r="H74" s="3">
        <f t="shared" si="11"/>
        <v>36</v>
      </c>
      <c r="X74" s="3" t="s">
        <v>890</v>
      </c>
      <c r="Y74" s="3">
        <v>1013</v>
      </c>
      <c r="AL74">
        <v>71</v>
      </c>
      <c r="AM74">
        <f t="shared" si="15"/>
        <v>1</v>
      </c>
      <c r="AN74" s="287">
        <v>69</v>
      </c>
      <c r="AO74" s="287" t="s">
        <v>704</v>
      </c>
      <c r="AP74" t="s">
        <v>718</v>
      </c>
      <c r="AQ74" s="287" t="s">
        <v>620</v>
      </c>
      <c r="AR74" s="288" t="s">
        <v>32</v>
      </c>
      <c r="AS74" t="s">
        <v>1001</v>
      </c>
      <c r="AT74" s="287" t="str">
        <f t="shared" si="5"/>
        <v>BB289:BB290</v>
      </c>
      <c r="AU74" s="288">
        <f>ROW()</f>
        <v>74</v>
      </c>
      <c r="AV74" s="288">
        <f t="array" ref="AV74">MINA(IF(AQ74=$BA$4:$BA$401,$BD$4:$BD$401))</f>
        <v>289</v>
      </c>
      <c r="AW74" s="288">
        <f t="array" ref="AW74">MAXA(IF(AQ74=$BA$4:$BA$401,$BD$4:$BD$401))</f>
        <v>290</v>
      </c>
      <c r="AX74" s="287" t="str">
        <f t="shared" si="6"/>
        <v>MED</v>
      </c>
      <c r="BA74" s="344" t="s">
        <v>155</v>
      </c>
      <c r="BB74" s="289" t="s">
        <v>1037</v>
      </c>
      <c r="BC74" s="290">
        <f>COUNTIF(BA$4:BA74,BA74)</f>
        <v>2</v>
      </c>
      <c r="BD74" s="290">
        <f>ROW()</f>
        <v>74</v>
      </c>
      <c r="BE74" s="290">
        <f t="shared" si="13"/>
        <v>1</v>
      </c>
      <c r="BG74" t="s">
        <v>614</v>
      </c>
      <c r="BH74">
        <f t="shared" si="14"/>
        <v>1</v>
      </c>
    </row>
    <row r="75" spans="2:60" x14ac:dyDescent="0.25">
      <c r="B75" s="3">
        <f>IF(E75=1,SUM($E$49:E75),0)</f>
        <v>27</v>
      </c>
      <c r="C75" s="287" t="s">
        <v>116</v>
      </c>
      <c r="D75" s="287">
        <v>40</v>
      </c>
      <c r="E75" s="99">
        <f t="shared" si="9"/>
        <v>1</v>
      </c>
      <c r="G75" s="3" t="str">
        <f t="shared" si="10"/>
        <v>GIDAM</v>
      </c>
      <c r="H75" s="3">
        <f t="shared" si="11"/>
        <v>40</v>
      </c>
      <c r="X75" s="3" t="s">
        <v>891</v>
      </c>
      <c r="Y75" s="3">
        <v>1014</v>
      </c>
      <c r="AL75">
        <v>72</v>
      </c>
      <c r="AM75">
        <f t="shared" si="15"/>
        <v>1</v>
      </c>
      <c r="AN75" s="287">
        <v>70</v>
      </c>
      <c r="AO75" s="287" t="s">
        <v>704</v>
      </c>
      <c r="AP75" s="287" t="s">
        <v>719</v>
      </c>
      <c r="AQ75" s="287" t="s">
        <v>610</v>
      </c>
      <c r="AR75" s="288" t="s">
        <v>32</v>
      </c>
      <c r="AS75" s="287" t="s">
        <v>1002</v>
      </c>
      <c r="AT75" s="287" t="str">
        <f t="shared" si="5"/>
        <v>BB291:BB295</v>
      </c>
      <c r="AU75" s="288">
        <f>ROW()</f>
        <v>75</v>
      </c>
      <c r="AV75" s="288">
        <f t="array" ref="AV75">MINA(IF(AQ75=$BA$4:$BA$401,$BD$4:$BD$401))</f>
        <v>291</v>
      </c>
      <c r="AW75" s="288">
        <f t="array" ref="AW75">MAXA(IF(AQ75=$BA$4:$BA$401,$BD$4:$BD$401))</f>
        <v>295</v>
      </c>
      <c r="AX75" s="287" t="str">
        <f t="shared" si="6"/>
        <v>MED</v>
      </c>
      <c r="BA75" s="344" t="s">
        <v>155</v>
      </c>
      <c r="BB75" s="289" t="s">
        <v>1038</v>
      </c>
      <c r="BC75" s="290">
        <f>COUNTIF(BA$4:BA75,BA75)</f>
        <v>3</v>
      </c>
      <c r="BD75" s="290">
        <f>ROW()</f>
        <v>75</v>
      </c>
      <c r="BE75" s="290">
        <f t="shared" si="13"/>
        <v>1</v>
      </c>
      <c r="BG75" t="s">
        <v>604</v>
      </c>
      <c r="BH75">
        <f t="shared" si="14"/>
        <v>1</v>
      </c>
    </row>
    <row r="76" spans="2:60" x14ac:dyDescent="0.25">
      <c r="B76" s="3">
        <f>IF(E76=1,SUM($E$49:E76),0)</f>
        <v>28</v>
      </c>
      <c r="C76" s="287" t="s">
        <v>699</v>
      </c>
      <c r="D76" s="287">
        <v>49</v>
      </c>
      <c r="E76" s="99">
        <f t="shared" si="9"/>
        <v>1</v>
      </c>
      <c r="G76" s="3" t="str">
        <f t="shared" si="10"/>
        <v>GI-iTEC - Grupo de Investigación e innovación Tecnológica en Electrónica y Comunicaciones</v>
      </c>
      <c r="H76" s="3">
        <f t="shared" si="11"/>
        <v>49</v>
      </c>
      <c r="X76" s="3" t="s">
        <v>892</v>
      </c>
      <c r="Y76" s="3">
        <v>1015</v>
      </c>
      <c r="AL76">
        <v>73</v>
      </c>
      <c r="AM76">
        <f t="shared" si="15"/>
        <v>0</v>
      </c>
      <c r="AN76" s="337">
        <v>73</v>
      </c>
      <c r="AO76" s="337" t="s">
        <v>704</v>
      </c>
      <c r="AP76" s="337" t="s">
        <v>1003</v>
      </c>
      <c r="AQ76" s="337" t="s">
        <v>1004</v>
      </c>
      <c r="AR76" s="338" t="s">
        <v>676</v>
      </c>
      <c r="AS76" s="342" t="s">
        <v>1005</v>
      </c>
      <c r="AT76" s="337" t="str">
        <f t="shared" si="5"/>
        <v>BB306:BB308</v>
      </c>
      <c r="AU76" s="338">
        <f>ROW()</f>
        <v>76</v>
      </c>
      <c r="AV76" s="338">
        <f t="array" ref="AV76">MINA(IF(AQ76=$BA$4:$BA$401,$BD$4:$BD$401))</f>
        <v>306</v>
      </c>
      <c r="AW76" s="338">
        <f t="array" ref="AW76">MAXA(IF(AQ76=$BA$4:$BA$401,$BD$4:$BD$401))</f>
        <v>308</v>
      </c>
      <c r="AX76" s="337" t="str">
        <f t="shared" si="6"/>
        <v>MED</v>
      </c>
      <c r="BA76" s="344" t="s">
        <v>155</v>
      </c>
      <c r="BB76" s="289" t="s">
        <v>1039</v>
      </c>
      <c r="BC76" s="290">
        <f>COUNTIF(BA$4:BA76,BA76)</f>
        <v>4</v>
      </c>
      <c r="BD76" s="290">
        <f>ROW()</f>
        <v>76</v>
      </c>
      <c r="BE76" s="290">
        <f t="shared" si="13"/>
        <v>1</v>
      </c>
    </row>
    <row r="77" spans="2:60" x14ac:dyDescent="0.25">
      <c r="B77" s="3">
        <f>IF(E77=1,SUM($E$49:E77),0)</f>
        <v>29</v>
      </c>
      <c r="C77" s="287" t="s">
        <v>695</v>
      </c>
      <c r="D77" s="287">
        <v>46</v>
      </c>
      <c r="E77" s="99">
        <f t="shared" si="9"/>
        <v>1</v>
      </c>
      <c r="G77" s="3" t="str">
        <f t="shared" si="10"/>
        <v>GISSIC: Grupo de Investigacion en Seguridad y Sistemas de Comunicaciones</v>
      </c>
      <c r="H77" s="3">
        <f t="shared" si="11"/>
        <v>46</v>
      </c>
      <c r="X77" s="3" t="s">
        <v>893</v>
      </c>
      <c r="Y77" s="3">
        <v>1021</v>
      </c>
      <c r="BA77" s="344" t="s">
        <v>155</v>
      </c>
      <c r="BB77" s="289" t="s">
        <v>1040</v>
      </c>
      <c r="BC77" s="290">
        <f>COUNTIF(BA$4:BA77,BA77)</f>
        <v>5</v>
      </c>
      <c r="BD77" s="290">
        <f>ROW()</f>
        <v>77</v>
      </c>
      <c r="BE77" s="290">
        <f t="shared" si="13"/>
        <v>1</v>
      </c>
    </row>
    <row r="78" spans="2:60" x14ac:dyDescent="0.25">
      <c r="B78" s="3">
        <f>IF(E78=1,SUM($E$49:E78),0)</f>
        <v>30</v>
      </c>
      <c r="C78" s="287" t="s">
        <v>702</v>
      </c>
      <c r="D78" s="287">
        <v>51</v>
      </c>
      <c r="E78" s="99">
        <f t="shared" si="9"/>
        <v>1</v>
      </c>
      <c r="G78" s="3" t="str">
        <f t="shared" si="10"/>
        <v>GREST</v>
      </c>
      <c r="H78" s="3">
        <f t="shared" si="11"/>
        <v>51</v>
      </c>
      <c r="X78" s="3" t="s">
        <v>894</v>
      </c>
      <c r="Y78" s="3">
        <v>1022</v>
      </c>
      <c r="BA78" s="344" t="s">
        <v>155</v>
      </c>
      <c r="BB78" s="289" t="s">
        <v>1041</v>
      </c>
      <c r="BC78" s="290">
        <f>COUNTIF(BA$4:BA78,BA78)</f>
        <v>6</v>
      </c>
      <c r="BD78" s="290">
        <f>ROW()</f>
        <v>78</v>
      </c>
      <c r="BE78" s="290">
        <f t="shared" si="13"/>
        <v>1</v>
      </c>
    </row>
    <row r="79" spans="2:60" x14ac:dyDescent="0.25">
      <c r="B79" s="3">
        <f>IF(E79=1,SUM($E$49:E79),0)</f>
        <v>31</v>
      </c>
      <c r="C79" s="287" t="s">
        <v>147</v>
      </c>
      <c r="D79" s="287">
        <v>16</v>
      </c>
      <c r="E79" s="99">
        <f t="shared" si="9"/>
        <v>1</v>
      </c>
      <c r="G79" s="3" t="str">
        <f t="shared" si="10"/>
        <v>Grupo de Derecho Privado</v>
      </c>
      <c r="H79" s="3">
        <f t="shared" si="11"/>
        <v>16</v>
      </c>
      <c r="X79" s="3" t="s">
        <v>895</v>
      </c>
      <c r="Y79" s="3">
        <v>1031</v>
      </c>
      <c r="BA79" s="344" t="s">
        <v>156</v>
      </c>
      <c r="BB79" s="289" t="s">
        <v>720</v>
      </c>
      <c r="BC79" s="290">
        <f>COUNTIF(BA$4:BA79,BA79)</f>
        <v>1</v>
      </c>
      <c r="BD79" s="290">
        <f>ROW()</f>
        <v>79</v>
      </c>
      <c r="BE79" s="290">
        <f t="shared" si="13"/>
        <v>1</v>
      </c>
    </row>
    <row r="80" spans="2:60" x14ac:dyDescent="0.25">
      <c r="B80" s="3">
        <f>IF(E80=1,SUM($E$49:E80),0)</f>
        <v>32</v>
      </c>
      <c r="C80" s="350" t="s">
        <v>941</v>
      </c>
      <c r="D80" s="287">
        <v>15</v>
      </c>
      <c r="E80" s="99">
        <f t="shared" si="9"/>
        <v>1</v>
      </c>
      <c r="G80" s="3" t="str">
        <f t="shared" si="10"/>
        <v xml:space="preserve">Grupo de derecho público </v>
      </c>
      <c r="H80" s="3">
        <f t="shared" si="11"/>
        <v>15</v>
      </c>
      <c r="X80" s="3" t="s">
        <v>896</v>
      </c>
      <c r="Y80" s="3">
        <v>1032</v>
      </c>
      <c r="BA80" s="344" t="s">
        <v>156</v>
      </c>
      <c r="BB80" s="289" t="s">
        <v>721</v>
      </c>
      <c r="BC80" s="290">
        <f>COUNTIF(BA$4:BA80,BA80)</f>
        <v>2</v>
      </c>
      <c r="BD80" s="290">
        <f>ROW()</f>
        <v>80</v>
      </c>
      <c r="BE80" s="290">
        <f t="shared" si="13"/>
        <v>1</v>
      </c>
    </row>
    <row r="81" spans="2:57" x14ac:dyDescent="0.25">
      <c r="B81" s="3">
        <f>IF(E81=1,SUM($E$49:E81),0)</f>
        <v>33</v>
      </c>
      <c r="C81" s="287" t="s">
        <v>597</v>
      </c>
      <c r="D81" s="287">
        <v>14</v>
      </c>
      <c r="E81" s="99">
        <f t="shared" ref="E81:E112" si="16">IF(IFERROR(SEARCH(GP,C81,1),0)&gt;0,1,0)</f>
        <v>1</v>
      </c>
      <c r="G81" s="3" t="str">
        <f t="shared" si="10"/>
        <v>Grupo de Docencia e Investigación en Física</v>
      </c>
      <c r="H81" s="3">
        <f t="shared" si="11"/>
        <v>14</v>
      </c>
      <c r="X81" s="3" t="s">
        <v>897</v>
      </c>
      <c r="Y81" s="3">
        <v>1041</v>
      </c>
      <c r="BA81" s="344" t="s">
        <v>156</v>
      </c>
      <c r="BB81" s="289" t="s">
        <v>722</v>
      </c>
      <c r="BC81" s="290">
        <f>COUNTIF(BA$4:BA81,BA81)</f>
        <v>3</v>
      </c>
      <c r="BD81" s="290">
        <f>ROW()</f>
        <v>81</v>
      </c>
      <c r="BE81" s="290">
        <f t="shared" si="13"/>
        <v>1</v>
      </c>
    </row>
    <row r="82" spans="2:57" x14ac:dyDescent="0.25">
      <c r="B82" s="3">
        <f>IF(E82=1,SUM($E$49:E82),0)</f>
        <v>34</v>
      </c>
      <c r="C82" s="335" t="s">
        <v>926</v>
      </c>
      <c r="D82" s="335">
        <v>8</v>
      </c>
      <c r="E82" s="99">
        <f t="shared" si="16"/>
        <v>1</v>
      </c>
      <c r="G82" s="3" t="str">
        <f t="shared" si="10"/>
        <v>Grupo de Ecotoxicología, Evolución, Medio ambiente y conservación (E = mc2)</v>
      </c>
      <c r="H82" s="3">
        <f t="shared" si="11"/>
        <v>8</v>
      </c>
      <c r="BA82" s="344" t="s">
        <v>156</v>
      </c>
      <c r="BB82" s="289" t="s">
        <v>157</v>
      </c>
      <c r="BC82" s="290">
        <f>COUNTIF(BA$4:BA82,BA82)</f>
        <v>4</v>
      </c>
      <c r="BD82" s="290">
        <f>ROW()</f>
        <v>82</v>
      </c>
      <c r="BE82" s="290">
        <f t="shared" si="13"/>
        <v>1</v>
      </c>
    </row>
    <row r="83" spans="2:57" x14ac:dyDescent="0.25">
      <c r="B83" s="3">
        <f>IF(E83=1,SUM($E$49:E83),0)</f>
        <v>35</v>
      </c>
      <c r="C83" s="287" t="s">
        <v>955</v>
      </c>
      <c r="D83" s="287">
        <v>27</v>
      </c>
      <c r="E83" s="99">
        <f t="shared" si="16"/>
        <v>1</v>
      </c>
      <c r="G83" s="3" t="str">
        <f t="shared" si="10"/>
        <v>Grupo de estudios contemporáneos en contabilidad, gestión y organizaciones - GECCGO</v>
      </c>
      <c r="H83" s="3">
        <f t="shared" si="11"/>
        <v>27</v>
      </c>
      <c r="BA83" s="344" t="s">
        <v>156</v>
      </c>
      <c r="BB83" s="289" t="s">
        <v>723</v>
      </c>
      <c r="BC83" s="290">
        <f>COUNTIF(BA$4:BA83,BA83)</f>
        <v>5</v>
      </c>
      <c r="BD83" s="290">
        <f>ROW()</f>
        <v>83</v>
      </c>
      <c r="BE83" s="290">
        <f t="shared" si="13"/>
        <v>1</v>
      </c>
    </row>
    <row r="84" spans="2:57" x14ac:dyDescent="0.25">
      <c r="B84" s="3">
        <f>IF(E84=1,SUM($E$49:E84),0)</f>
        <v>36</v>
      </c>
      <c r="C84" s="287" t="s">
        <v>682</v>
      </c>
      <c r="D84" s="287">
        <v>25</v>
      </c>
      <c r="E84" s="99">
        <f t="shared" si="16"/>
        <v>1</v>
      </c>
      <c r="G84" s="3" t="str">
        <f t="shared" si="10"/>
        <v>Grupo de Estudios en Ciencias Económicas - CIE</v>
      </c>
      <c r="H84" s="3">
        <f t="shared" si="11"/>
        <v>25</v>
      </c>
      <c r="BA84" s="344" t="s">
        <v>156</v>
      </c>
      <c r="BB84" s="289" t="s">
        <v>724</v>
      </c>
      <c r="BC84" s="290">
        <f>COUNTIF(BA$4:BA84,BA84)</f>
        <v>6</v>
      </c>
      <c r="BD84" s="290">
        <f>ROW()</f>
        <v>84</v>
      </c>
      <c r="BE84" s="290">
        <f t="shared" si="13"/>
        <v>1</v>
      </c>
    </row>
    <row r="85" spans="2:57" x14ac:dyDescent="0.25">
      <c r="B85" s="3">
        <f>IF(E85=1,SUM($E$49:E85),0)</f>
        <v>37</v>
      </c>
      <c r="C85" s="287" t="s">
        <v>95</v>
      </c>
      <c r="D85" s="287">
        <v>26</v>
      </c>
      <c r="E85" s="99">
        <f t="shared" si="16"/>
        <v>1</v>
      </c>
      <c r="G85" s="3" t="str">
        <f t="shared" si="10"/>
        <v>Grupo de Estudios Macroeconómicos</v>
      </c>
      <c r="H85" s="3">
        <f t="shared" si="11"/>
        <v>26</v>
      </c>
      <c r="BA85" s="344" t="s">
        <v>158</v>
      </c>
      <c r="BB85" s="289" t="s">
        <v>182</v>
      </c>
      <c r="BC85" s="290">
        <f>COUNTIF(BA$4:BA85,BA85)</f>
        <v>1</v>
      </c>
      <c r="BD85" s="290">
        <f>ROW()</f>
        <v>85</v>
      </c>
      <c r="BE85" s="290">
        <f t="shared" si="13"/>
        <v>1</v>
      </c>
    </row>
    <row r="86" spans="2:57" x14ac:dyDescent="0.25">
      <c r="B86" s="3">
        <f>IF(E86=1,SUM($E$49:E86),0)</f>
        <v>38</v>
      </c>
      <c r="C86" s="287" t="s">
        <v>718</v>
      </c>
      <c r="D86" s="287">
        <v>69</v>
      </c>
      <c r="E86" s="99">
        <f t="shared" si="16"/>
        <v>1</v>
      </c>
      <c r="G86" s="3" t="str">
        <f t="shared" si="10"/>
        <v>Grupo de inmunología Clínica Aplicada (GICA)</v>
      </c>
      <c r="H86" s="3">
        <f t="shared" si="11"/>
        <v>69</v>
      </c>
      <c r="BA86" s="344" t="s">
        <v>158</v>
      </c>
      <c r="BB86" s="289" t="s">
        <v>1042</v>
      </c>
      <c r="BC86" s="290">
        <f>COUNTIF(BA$4:BA86,BA86)</f>
        <v>2</v>
      </c>
      <c r="BD86" s="290">
        <f>ROW()</f>
        <v>86</v>
      </c>
      <c r="BE86" s="290">
        <f t="shared" si="13"/>
        <v>1</v>
      </c>
    </row>
    <row r="87" spans="2:57" x14ac:dyDescent="0.25">
      <c r="B87" s="3">
        <f>IF(E87=1,SUM($E$49:E87),0)</f>
        <v>39</v>
      </c>
      <c r="C87" s="287" t="s">
        <v>62</v>
      </c>
      <c r="D87" s="287">
        <v>2</v>
      </c>
      <c r="E87" s="99">
        <f t="shared" si="16"/>
        <v>1</v>
      </c>
      <c r="G87" s="3" t="str">
        <f t="shared" si="10"/>
        <v>Grupo de investigación en Biodiversidad y ecología de abejas silvestres</v>
      </c>
      <c r="H87" s="3">
        <f t="shared" si="11"/>
        <v>2</v>
      </c>
      <c r="BA87" s="344" t="s">
        <v>158</v>
      </c>
      <c r="BB87" s="289" t="s">
        <v>1043</v>
      </c>
      <c r="BC87" s="290">
        <f>COUNTIF(BA$4:BA87,BA87)</f>
        <v>3</v>
      </c>
      <c r="BD87" s="290">
        <f>ROW()</f>
        <v>87</v>
      </c>
      <c r="BE87" s="290">
        <f t="shared" si="13"/>
        <v>1</v>
      </c>
    </row>
    <row r="88" spans="2:57" x14ac:dyDescent="0.25">
      <c r="B88" s="3">
        <f>IF(E88=1,SUM($E$49:E88),0)</f>
        <v>40</v>
      </c>
      <c r="C88" s="287" t="s">
        <v>709</v>
      </c>
      <c r="D88" s="287">
        <v>58</v>
      </c>
      <c r="E88" s="99">
        <f t="shared" si="16"/>
        <v>1</v>
      </c>
      <c r="G88" s="3" t="str">
        <f t="shared" si="10"/>
        <v>Grupo de Investigacion en Dermatologia HMC</v>
      </c>
      <c r="H88" s="3">
        <f t="shared" si="11"/>
        <v>58</v>
      </c>
      <c r="BA88" s="344" t="s">
        <v>158</v>
      </c>
      <c r="BB88" s="289" t="s">
        <v>725</v>
      </c>
      <c r="BC88" s="290">
        <f>COUNTIF(BA$4:BA88,BA88)</f>
        <v>4</v>
      </c>
      <c r="BD88" s="290">
        <f>ROW()</f>
        <v>88</v>
      </c>
      <c r="BE88" s="290">
        <f t="shared" si="13"/>
        <v>1</v>
      </c>
    </row>
    <row r="89" spans="2:57" x14ac:dyDescent="0.25">
      <c r="B89" s="3">
        <f>IF(E89=1,SUM($E$49:E89),0)</f>
        <v>41</v>
      </c>
      <c r="C89" s="287" t="s">
        <v>670</v>
      </c>
      <c r="D89" s="287">
        <v>9</v>
      </c>
      <c r="E89" s="99">
        <f t="shared" si="16"/>
        <v>1</v>
      </c>
      <c r="G89" s="3" t="str">
        <f t="shared" si="10"/>
        <v>Grupo de Investigación en Hidrobiología Aplicada (HIDROBIA)</v>
      </c>
      <c r="H89" s="3">
        <f t="shared" si="11"/>
        <v>9</v>
      </c>
      <c r="BA89" s="344" t="s">
        <v>622</v>
      </c>
      <c r="BB89" s="289" t="s">
        <v>1044</v>
      </c>
      <c r="BC89" s="290">
        <f>COUNTIF(BA$4:BA89,BA89)</f>
        <v>1</v>
      </c>
      <c r="BD89" s="290">
        <f>ROW()</f>
        <v>89</v>
      </c>
      <c r="BE89" s="290">
        <f t="shared" si="13"/>
        <v>1</v>
      </c>
    </row>
    <row r="90" spans="2:57" x14ac:dyDescent="0.25">
      <c r="B90" s="3">
        <f>IF(E90=1,SUM($E$49:E90),0)</f>
        <v>42</v>
      </c>
      <c r="C90" s="287" t="s">
        <v>688</v>
      </c>
      <c r="D90" s="287">
        <v>35</v>
      </c>
      <c r="E90" s="99">
        <f t="shared" si="16"/>
        <v>1</v>
      </c>
      <c r="G90" s="3" t="str">
        <f t="shared" si="10"/>
        <v>Grupo de Investigación en Multimedia -GIM-</v>
      </c>
      <c r="H90" s="3">
        <f t="shared" si="11"/>
        <v>35</v>
      </c>
      <c r="BA90" s="344" t="s">
        <v>622</v>
      </c>
      <c r="BB90" s="289" t="s">
        <v>1045</v>
      </c>
      <c r="BC90" s="290">
        <f>COUNTIF(BA$4:BA90,BA90)</f>
        <v>2</v>
      </c>
      <c r="BD90" s="290">
        <f>ROW()</f>
        <v>90</v>
      </c>
      <c r="BE90" s="290">
        <f t="shared" si="13"/>
        <v>1</v>
      </c>
    </row>
    <row r="91" spans="2:57" x14ac:dyDescent="0.25">
      <c r="B91" s="3">
        <f>IF(E91=1,SUM($E$49:E91),0)</f>
        <v>43</v>
      </c>
      <c r="C91" s="287" t="s">
        <v>931</v>
      </c>
      <c r="D91" s="287">
        <v>12</v>
      </c>
      <c r="E91" s="99">
        <f t="shared" si="16"/>
        <v>1</v>
      </c>
      <c r="G91" s="3" t="str">
        <f t="shared" si="10"/>
        <v>Grupo de investigación en química ambiental y tecnologías limpias - QUATELI</v>
      </c>
      <c r="H91" s="3">
        <f t="shared" si="11"/>
        <v>12</v>
      </c>
      <c r="BA91" s="344" t="s">
        <v>622</v>
      </c>
      <c r="BB91" s="289" t="s">
        <v>1046</v>
      </c>
      <c r="BC91" s="290">
        <f>COUNTIF(BA$4:BA91,BA91)</f>
        <v>3</v>
      </c>
      <c r="BD91" s="290">
        <f>ROW()</f>
        <v>91</v>
      </c>
      <c r="BE91" s="290">
        <f t="shared" si="13"/>
        <v>1</v>
      </c>
    </row>
    <row r="92" spans="2:57" x14ac:dyDescent="0.25">
      <c r="B92" s="3">
        <f>IF(E92=1,SUM($E$49:E92),0)</f>
        <v>44</v>
      </c>
      <c r="C92" s="287" t="s">
        <v>149</v>
      </c>
      <c r="D92" s="287">
        <v>63</v>
      </c>
      <c r="E92" s="99">
        <f t="shared" si="16"/>
        <v>1</v>
      </c>
      <c r="G92" s="3" t="str">
        <f t="shared" si="10"/>
        <v>Grupo de Investigacion en Urologia HMC</v>
      </c>
      <c r="H92" s="3">
        <f t="shared" si="11"/>
        <v>63</v>
      </c>
      <c r="BA92" s="344" t="s">
        <v>622</v>
      </c>
      <c r="BB92" s="289" t="s">
        <v>1047</v>
      </c>
      <c r="BC92" s="290">
        <f>COUNTIF(BA$4:BA92,BA92)</f>
        <v>4</v>
      </c>
      <c r="BD92" s="290">
        <f>ROW()</f>
        <v>92</v>
      </c>
      <c r="BE92" s="290">
        <f t="shared" si="13"/>
        <v>1</v>
      </c>
    </row>
    <row r="93" spans="2:57" x14ac:dyDescent="0.25">
      <c r="B93" s="3">
        <f>IF(E93=1,SUM($E$49:E93),0)</f>
        <v>45</v>
      </c>
      <c r="C93" s="337" t="s">
        <v>1003</v>
      </c>
      <c r="D93" s="337">
        <v>73</v>
      </c>
      <c r="E93" s="99">
        <f t="shared" si="16"/>
        <v>1</v>
      </c>
      <c r="G93" s="3" t="str">
        <f t="shared" si="10"/>
        <v>Grupo de investigaciones sobre agentes radiológicos, biológicos y químicos</v>
      </c>
      <c r="H93" s="3">
        <f t="shared" si="11"/>
        <v>73</v>
      </c>
      <c r="BA93" s="344" t="s">
        <v>622</v>
      </c>
      <c r="BB93" s="289" t="s">
        <v>1048</v>
      </c>
      <c r="BC93" s="290">
        <f>COUNTIF(BA$4:BA93,BA93)</f>
        <v>5</v>
      </c>
      <c r="BD93" s="290">
        <f>ROW()</f>
        <v>93</v>
      </c>
      <c r="BE93" s="290">
        <f t="shared" si="13"/>
        <v>1</v>
      </c>
    </row>
    <row r="94" spans="2:57" x14ac:dyDescent="0.25">
      <c r="B94" s="3">
        <f>IF(E94=1,SUM($E$49:E94),0)</f>
        <v>46</v>
      </c>
      <c r="C94" s="287" t="s">
        <v>665</v>
      </c>
      <c r="D94" s="287">
        <v>5</v>
      </c>
      <c r="E94" s="99">
        <f t="shared" si="16"/>
        <v>1</v>
      </c>
      <c r="G94" s="3" t="str">
        <f t="shared" si="10"/>
        <v xml:space="preserve">Grupo de Micología y Fitopatologia </v>
      </c>
      <c r="H94" s="3">
        <f t="shared" si="11"/>
        <v>5</v>
      </c>
      <c r="BA94" s="344" t="s">
        <v>622</v>
      </c>
      <c r="BB94" s="289" t="s">
        <v>1049</v>
      </c>
      <c r="BC94" s="290">
        <f>COUNTIF(BA$4:BA94,BA94)</f>
        <v>6</v>
      </c>
      <c r="BD94" s="290">
        <f>ROW()</f>
        <v>94</v>
      </c>
      <c r="BE94" s="290">
        <f t="shared" si="13"/>
        <v>1</v>
      </c>
    </row>
    <row r="95" spans="2:57" x14ac:dyDescent="0.25">
      <c r="B95" s="3">
        <f>IF(E95=1,SUM($E$49:E95),0)</f>
        <v>47</v>
      </c>
      <c r="C95" s="287" t="s">
        <v>983</v>
      </c>
      <c r="D95" s="287">
        <v>54</v>
      </c>
      <c r="E95" s="99">
        <f t="shared" si="16"/>
        <v>1</v>
      </c>
      <c r="G95" s="3" t="str">
        <f t="shared" si="10"/>
        <v>Grupo de Psoriasis e Inmunodermatologia</v>
      </c>
      <c r="H95" s="3">
        <f t="shared" si="11"/>
        <v>54</v>
      </c>
      <c r="BA95" s="344" t="s">
        <v>622</v>
      </c>
      <c r="BB95" s="289" t="s">
        <v>1050</v>
      </c>
      <c r="BC95" s="290">
        <f>COUNTIF(BA$4:BA95,BA95)</f>
        <v>7</v>
      </c>
      <c r="BD95" s="290">
        <f>ROW()</f>
        <v>95</v>
      </c>
      <c r="BE95" s="290">
        <f t="shared" si="13"/>
        <v>1</v>
      </c>
    </row>
    <row r="96" spans="2:57" x14ac:dyDescent="0.25">
      <c r="B96" s="3">
        <f>IF(E96=1,SUM($E$49:E96),0)</f>
        <v>48</v>
      </c>
      <c r="C96" s="350" t="s">
        <v>993</v>
      </c>
      <c r="D96" s="287">
        <v>62</v>
      </c>
      <c r="E96" s="99">
        <f t="shared" si="16"/>
        <v>1</v>
      </c>
      <c r="G96" s="3" t="str">
        <f t="shared" si="10"/>
        <v>Grupo de Rehabilitacion HOMIC-UMNG</v>
      </c>
      <c r="H96" s="3">
        <f t="shared" si="11"/>
        <v>62</v>
      </c>
      <c r="BA96" s="344" t="s">
        <v>622</v>
      </c>
      <c r="BB96" s="289" t="s">
        <v>1051</v>
      </c>
      <c r="BC96" s="290">
        <f>COUNTIF(BA$4:BA96,BA96)</f>
        <v>8</v>
      </c>
      <c r="BD96" s="290">
        <f>ROW()</f>
        <v>96</v>
      </c>
      <c r="BE96" s="290">
        <f t="shared" si="13"/>
        <v>1</v>
      </c>
    </row>
    <row r="97" spans="2:57" x14ac:dyDescent="0.25">
      <c r="B97" s="3">
        <f>IF(E97=1,SUM($E$49:E97),0)</f>
        <v>49</v>
      </c>
      <c r="C97" s="350" t="s">
        <v>990</v>
      </c>
      <c r="D97" s="287">
        <v>60</v>
      </c>
      <c r="E97" s="99">
        <f t="shared" si="16"/>
        <v>1</v>
      </c>
      <c r="G97" s="3" t="str">
        <f t="shared" si="10"/>
        <v>Grupo de Salud Oral y Cirugia Maxilofacial</v>
      </c>
      <c r="H97" s="3">
        <f t="shared" si="11"/>
        <v>60</v>
      </c>
      <c r="BA97" s="344" t="s">
        <v>622</v>
      </c>
      <c r="BB97" s="289" t="s">
        <v>1052</v>
      </c>
      <c r="BC97" s="290">
        <f>COUNTIF(BA$4:BA97,BA97)</f>
        <v>9</v>
      </c>
      <c r="BD97" s="290">
        <f>ROW()</f>
        <v>97</v>
      </c>
      <c r="BE97" s="290">
        <f t="shared" si="13"/>
        <v>1</v>
      </c>
    </row>
    <row r="98" spans="2:57" x14ac:dyDescent="0.25">
      <c r="B98" s="3">
        <f>IF(E98=1,SUM($E$49:E98),0)</f>
        <v>50</v>
      </c>
      <c r="C98" s="287" t="s">
        <v>128</v>
      </c>
      <c r="D98" s="287">
        <v>11</v>
      </c>
      <c r="E98" s="99">
        <f t="shared" si="16"/>
        <v>1</v>
      </c>
      <c r="G98" s="3" t="str">
        <f t="shared" si="10"/>
        <v>Grupo Integrado de Investigaciones en Química y Biología (InQuiBio)</v>
      </c>
      <c r="H98" s="3">
        <f t="shared" si="11"/>
        <v>11</v>
      </c>
      <c r="BA98" s="344" t="s">
        <v>622</v>
      </c>
      <c r="BB98" s="289" t="s">
        <v>1053</v>
      </c>
      <c r="BC98" s="290">
        <f>COUNTIF(BA$4:BA98,BA98)</f>
        <v>10</v>
      </c>
      <c r="BD98" s="290">
        <f>ROW()</f>
        <v>98</v>
      </c>
      <c r="BE98" s="290">
        <f t="shared" si="13"/>
        <v>1</v>
      </c>
    </row>
    <row r="99" spans="2:57" x14ac:dyDescent="0.25">
      <c r="B99" s="3">
        <f>IF(E99=1,SUM($E$49:E99),0)</f>
        <v>51</v>
      </c>
      <c r="C99" s="287" t="s">
        <v>621</v>
      </c>
      <c r="D99" s="287">
        <v>57</v>
      </c>
      <c r="E99" s="99">
        <f t="shared" si="16"/>
        <v>1</v>
      </c>
      <c r="G99" s="3" t="str">
        <f t="shared" si="10"/>
        <v>GRUPO NEUROCIENCIAS HMC</v>
      </c>
      <c r="H99" s="3">
        <f t="shared" si="11"/>
        <v>57</v>
      </c>
      <c r="BA99" s="344" t="s">
        <v>622</v>
      </c>
      <c r="BB99" s="289" t="s">
        <v>1054</v>
      </c>
      <c r="BC99" s="290">
        <f>COUNTIF(BA$4:BA99,BA99)</f>
        <v>11</v>
      </c>
      <c r="BD99" s="290">
        <f>ROW()</f>
        <v>99</v>
      </c>
      <c r="BE99" s="290">
        <f t="shared" si="13"/>
        <v>1</v>
      </c>
    </row>
    <row r="100" spans="2:57" x14ac:dyDescent="0.25">
      <c r="B100" s="3">
        <f>IF(E100=1,SUM($E$49:E100),0)</f>
        <v>52</v>
      </c>
      <c r="C100" s="287" t="s">
        <v>706</v>
      </c>
      <c r="D100" s="287">
        <v>55</v>
      </c>
      <c r="E100" s="99">
        <f t="shared" si="16"/>
        <v>1</v>
      </c>
      <c r="G100" s="3" t="str">
        <f t="shared" si="10"/>
        <v>Grupo para el estudio de enfermedades respiratorias en nińos. Respira</v>
      </c>
      <c r="H100" s="3">
        <f t="shared" si="11"/>
        <v>55</v>
      </c>
      <c r="BA100" s="344" t="s">
        <v>622</v>
      </c>
      <c r="BB100" s="289" t="s">
        <v>1055</v>
      </c>
      <c r="BC100" s="290">
        <f>COUNTIF(BA$4:BA100,BA100)</f>
        <v>12</v>
      </c>
      <c r="BD100" s="290">
        <f>ROW()</f>
        <v>100</v>
      </c>
      <c r="BE100" s="290">
        <f t="shared" si="13"/>
        <v>1</v>
      </c>
    </row>
    <row r="101" spans="2:57" x14ac:dyDescent="0.25">
      <c r="B101" s="3">
        <f>IF(E101=1,SUM($E$49:E101),0)</f>
        <v>53</v>
      </c>
      <c r="C101" s="287" t="s">
        <v>110</v>
      </c>
      <c r="D101" s="287">
        <v>32</v>
      </c>
      <c r="E101" s="99">
        <f t="shared" si="16"/>
        <v>1</v>
      </c>
      <c r="G101" s="3" t="str">
        <f t="shared" si="10"/>
        <v>HUMANITAS</v>
      </c>
      <c r="H101" s="3">
        <f t="shared" si="11"/>
        <v>32</v>
      </c>
      <c r="BA101" s="344" t="s">
        <v>622</v>
      </c>
      <c r="BB101" s="289" t="s">
        <v>1056</v>
      </c>
      <c r="BC101" s="290">
        <f>COUNTIF(BA$4:BA101,BA101)</f>
        <v>13</v>
      </c>
      <c r="BD101" s="290">
        <f>ROW()</f>
        <v>101</v>
      </c>
      <c r="BE101" s="290">
        <f t="shared" si="13"/>
        <v>1</v>
      </c>
    </row>
    <row r="102" spans="2:57" x14ac:dyDescent="0.25">
      <c r="B102" s="3">
        <f>IF(E102=1,SUM($E$49:E102),0)</f>
        <v>54</v>
      </c>
      <c r="C102" s="287" t="s">
        <v>150</v>
      </c>
      <c r="D102" s="287">
        <v>24</v>
      </c>
      <c r="E102" s="99">
        <f t="shared" si="16"/>
        <v>1</v>
      </c>
      <c r="G102" s="3" t="str">
        <f t="shared" si="10"/>
        <v>INAMPE</v>
      </c>
      <c r="H102" s="3">
        <f t="shared" si="11"/>
        <v>24</v>
      </c>
      <c r="BA102" s="344" t="s">
        <v>228</v>
      </c>
      <c r="BB102" s="289" t="s">
        <v>726</v>
      </c>
      <c r="BC102" s="290">
        <f>COUNTIF(BA$4:BA102,BA102)</f>
        <v>1</v>
      </c>
      <c r="BD102" s="290">
        <f>ROW()</f>
        <v>102</v>
      </c>
      <c r="BE102" s="290">
        <f t="shared" si="13"/>
        <v>1</v>
      </c>
    </row>
    <row r="103" spans="2:57" x14ac:dyDescent="0.25">
      <c r="B103" s="3">
        <f>IF(E103=1,SUM($E$49:E103),0)</f>
        <v>55</v>
      </c>
      <c r="C103" s="287" t="s">
        <v>138</v>
      </c>
      <c r="D103" s="287">
        <v>19</v>
      </c>
      <c r="E103" s="99">
        <f t="shared" si="16"/>
        <v>1</v>
      </c>
      <c r="G103" s="3" t="str">
        <f t="shared" si="10"/>
        <v>INCONDIS</v>
      </c>
      <c r="H103" s="3">
        <f t="shared" si="11"/>
        <v>19</v>
      </c>
      <c r="BA103" s="344" t="s">
        <v>228</v>
      </c>
      <c r="BB103" s="289" t="s">
        <v>727</v>
      </c>
      <c r="BC103" s="290">
        <f>COUNTIF(BA$4:BA103,BA103)</f>
        <v>2</v>
      </c>
      <c r="BD103" s="290">
        <f>ROW()</f>
        <v>103</v>
      </c>
      <c r="BE103" s="290">
        <f t="shared" si="13"/>
        <v>1</v>
      </c>
    </row>
    <row r="104" spans="2:57" x14ac:dyDescent="0.25">
      <c r="B104" s="3">
        <f>IF(E104=1,SUM($E$49:E104),0)</f>
        <v>56</v>
      </c>
      <c r="C104" s="287" t="s">
        <v>694</v>
      </c>
      <c r="D104" s="287">
        <v>43</v>
      </c>
      <c r="E104" s="99">
        <f t="shared" si="16"/>
        <v>1</v>
      </c>
      <c r="G104" s="3" t="str">
        <f t="shared" si="10"/>
        <v>INGENIERÍA, GEOMÁTICA Y EDUCACIÓN (IGE)</v>
      </c>
      <c r="H104" s="3">
        <f t="shared" si="11"/>
        <v>43</v>
      </c>
      <c r="BA104" s="344" t="s">
        <v>228</v>
      </c>
      <c r="BB104" s="289" t="s">
        <v>728</v>
      </c>
      <c r="BC104" s="290">
        <f>COUNTIF(BA$4:BA104,BA104)</f>
        <v>3</v>
      </c>
      <c r="BD104" s="290">
        <f>ROW()</f>
        <v>104</v>
      </c>
      <c r="BE104" s="290">
        <f t="shared" si="13"/>
        <v>1</v>
      </c>
    </row>
    <row r="105" spans="2:57" x14ac:dyDescent="0.25">
      <c r="B105" s="3">
        <f>IF(E105=1,SUM($E$49:E105),0)</f>
        <v>57</v>
      </c>
      <c r="C105" s="287" t="s">
        <v>133</v>
      </c>
      <c r="D105" s="287">
        <v>65</v>
      </c>
      <c r="E105" s="99">
        <f t="shared" si="16"/>
        <v>1</v>
      </c>
      <c r="G105" s="3" t="str">
        <f t="shared" si="10"/>
        <v>Insight</v>
      </c>
      <c r="H105" s="3">
        <f t="shared" si="11"/>
        <v>65</v>
      </c>
      <c r="BA105" s="344" t="s">
        <v>228</v>
      </c>
      <c r="BB105" s="289" t="s">
        <v>229</v>
      </c>
      <c r="BC105" s="290">
        <f>COUNTIF(BA$4:BA105,BA105)</f>
        <v>4</v>
      </c>
      <c r="BD105" s="290">
        <f>ROW()</f>
        <v>105</v>
      </c>
      <c r="BE105" s="290">
        <f t="shared" si="13"/>
        <v>1</v>
      </c>
    </row>
    <row r="106" spans="2:57" x14ac:dyDescent="0.25">
      <c r="B106" s="3">
        <f>IF(E106=1,SUM($E$49:E106),0)</f>
        <v>58</v>
      </c>
      <c r="C106" s="287" t="s">
        <v>712</v>
      </c>
      <c r="D106" s="287">
        <v>61</v>
      </c>
      <c r="E106" s="99">
        <f t="shared" si="16"/>
        <v>1</v>
      </c>
      <c r="G106" s="3" t="str">
        <f t="shared" si="10"/>
        <v>Kokhlias.</v>
      </c>
      <c r="H106" s="3">
        <f t="shared" si="11"/>
        <v>61</v>
      </c>
      <c r="BA106" s="344" t="s">
        <v>228</v>
      </c>
      <c r="BB106" s="289" t="s">
        <v>230</v>
      </c>
      <c r="BC106" s="290">
        <f>COUNTIF(BA$4:BA106,BA106)</f>
        <v>5</v>
      </c>
      <c r="BD106" s="290">
        <f>ROW()</f>
        <v>106</v>
      </c>
      <c r="BE106" s="290">
        <f t="shared" si="13"/>
        <v>1</v>
      </c>
    </row>
    <row r="107" spans="2:57" x14ac:dyDescent="0.25">
      <c r="B107" s="3">
        <f>IF(E107=1,SUM($E$49:E107),0)</f>
        <v>59</v>
      </c>
      <c r="C107" s="287" t="s">
        <v>139</v>
      </c>
      <c r="D107" s="287">
        <v>50</v>
      </c>
      <c r="E107" s="99">
        <f t="shared" si="16"/>
        <v>1</v>
      </c>
      <c r="G107" s="3" t="str">
        <f t="shared" si="10"/>
        <v>LA TRAMOYA</v>
      </c>
      <c r="H107" s="3">
        <f t="shared" si="11"/>
        <v>50</v>
      </c>
      <c r="BA107" s="344" t="s">
        <v>159</v>
      </c>
      <c r="BB107" s="289" t="s">
        <v>160</v>
      </c>
      <c r="BC107" s="290">
        <f>COUNTIF(BA$4:BA107,BA107)</f>
        <v>1</v>
      </c>
      <c r="BD107" s="290">
        <f>ROW()</f>
        <v>107</v>
      </c>
      <c r="BE107" s="290">
        <f t="shared" si="13"/>
        <v>1</v>
      </c>
    </row>
    <row r="108" spans="2:57" x14ac:dyDescent="0.25">
      <c r="B108" s="3">
        <f>IF(E108=1,SUM($E$49:E108),0)</f>
        <v>60</v>
      </c>
      <c r="C108" s="287" t="s">
        <v>72</v>
      </c>
      <c r="D108" s="287">
        <v>31</v>
      </c>
      <c r="E108" s="99">
        <f t="shared" si="16"/>
        <v>1</v>
      </c>
      <c r="G108" s="3" t="str">
        <f t="shared" si="10"/>
        <v>LIDERAZGO</v>
      </c>
      <c r="H108" s="3">
        <f t="shared" si="11"/>
        <v>31</v>
      </c>
      <c r="BA108" s="344" t="s">
        <v>159</v>
      </c>
      <c r="BB108" s="289" t="s">
        <v>161</v>
      </c>
      <c r="BC108" s="290">
        <f>COUNTIF(BA$4:BA108,BA108)</f>
        <v>2</v>
      </c>
      <c r="BD108" s="290">
        <f>ROW()</f>
        <v>108</v>
      </c>
      <c r="BE108" s="290">
        <f t="shared" si="13"/>
        <v>1</v>
      </c>
    </row>
    <row r="109" spans="2:57" x14ac:dyDescent="0.25">
      <c r="B109" s="3">
        <f>IF(E109=1,SUM($E$49:E109),0)</f>
        <v>61</v>
      </c>
      <c r="C109" s="287" t="s">
        <v>80</v>
      </c>
      <c r="D109" s="287">
        <v>3</v>
      </c>
      <c r="E109" s="99">
        <f t="shared" si="16"/>
        <v>1</v>
      </c>
      <c r="G109" s="3" t="str">
        <f t="shared" si="10"/>
        <v>MATRIX</v>
      </c>
      <c r="H109" s="3">
        <f t="shared" si="11"/>
        <v>3</v>
      </c>
      <c r="BA109" s="344" t="s">
        <v>159</v>
      </c>
      <c r="BB109" s="289" t="s">
        <v>162</v>
      </c>
      <c r="BC109" s="290">
        <f>COUNTIF(BA$4:BA109,BA109)</f>
        <v>3</v>
      </c>
      <c r="BD109" s="290">
        <f>ROW()</f>
        <v>109</v>
      </c>
      <c r="BE109" s="290">
        <f t="shared" si="13"/>
        <v>1</v>
      </c>
    </row>
    <row r="110" spans="2:57" x14ac:dyDescent="0.25">
      <c r="B110" s="3">
        <f>IF(E110=1,SUM($E$49:E110),0)</f>
        <v>62</v>
      </c>
      <c r="C110" s="348" t="s">
        <v>680</v>
      </c>
      <c r="D110" s="287">
        <v>21</v>
      </c>
      <c r="E110" s="99">
        <f t="shared" si="16"/>
        <v>1</v>
      </c>
      <c r="G110" s="3" t="str">
        <f t="shared" si="10"/>
        <v>Medios, Mediaciones y Procesos en Educación a Distancia</v>
      </c>
      <c r="H110" s="3">
        <f t="shared" si="11"/>
        <v>21</v>
      </c>
      <c r="BA110" s="344" t="s">
        <v>159</v>
      </c>
      <c r="BB110" s="289" t="s">
        <v>163</v>
      </c>
      <c r="BC110" s="290">
        <f>COUNTIF(BA$4:BA110,BA110)</f>
        <v>4</v>
      </c>
      <c r="BD110" s="290">
        <f>ROW()</f>
        <v>110</v>
      </c>
      <c r="BE110" s="290">
        <f t="shared" si="13"/>
        <v>1</v>
      </c>
    </row>
    <row r="111" spans="2:57" x14ac:dyDescent="0.25">
      <c r="B111" s="3">
        <f>IF(E111=1,SUM($E$49:E111),0)</f>
        <v>63</v>
      </c>
      <c r="C111" s="287" t="s">
        <v>84</v>
      </c>
      <c r="D111" s="287">
        <v>23</v>
      </c>
      <c r="E111" s="99">
        <f t="shared" si="16"/>
        <v>1</v>
      </c>
      <c r="G111" s="3" t="str">
        <f t="shared" si="10"/>
        <v>Modelos de simulación ICDIST</v>
      </c>
      <c r="H111" s="3">
        <f t="shared" si="11"/>
        <v>23</v>
      </c>
      <c r="BA111" s="344" t="s">
        <v>159</v>
      </c>
      <c r="BB111" s="289" t="s">
        <v>164</v>
      </c>
      <c r="BC111" s="290">
        <f>COUNTIF(BA$4:BA111,BA111)</f>
        <v>5</v>
      </c>
      <c r="BD111" s="290">
        <f>ROW()</f>
        <v>111</v>
      </c>
      <c r="BE111" s="290">
        <f t="shared" si="13"/>
        <v>1</v>
      </c>
    </row>
    <row r="112" spans="2:57" x14ac:dyDescent="0.25">
      <c r="B112" s="3">
        <f>IF(E112=1,SUM($E$49:E112),0)</f>
        <v>64</v>
      </c>
      <c r="C112" s="349" t="s">
        <v>938</v>
      </c>
      <c r="D112" s="337">
        <v>72</v>
      </c>
      <c r="E112" s="99">
        <f t="shared" si="16"/>
        <v>1</v>
      </c>
      <c r="G112" s="3" t="str">
        <f t="shared" si="10"/>
        <v>Nanofab</v>
      </c>
      <c r="H112" s="3">
        <f t="shared" si="11"/>
        <v>72</v>
      </c>
      <c r="BA112" s="344" t="s">
        <v>165</v>
      </c>
      <c r="BB112" s="289" t="s">
        <v>729</v>
      </c>
      <c r="BC112" s="290">
        <f>COUNTIF(BA$4:BA112,BA112)</f>
        <v>1</v>
      </c>
      <c r="BD112" s="290">
        <f>ROW()</f>
        <v>112</v>
      </c>
      <c r="BE112" s="290">
        <f t="shared" si="13"/>
        <v>1</v>
      </c>
    </row>
    <row r="113" spans="2:57" x14ac:dyDescent="0.25">
      <c r="B113" s="3">
        <f>IF(E113=1,SUM($E$49:E113),0)</f>
        <v>65</v>
      </c>
      <c r="C113" s="287" t="s">
        <v>125</v>
      </c>
      <c r="D113" s="287">
        <v>22</v>
      </c>
      <c r="E113" s="99">
        <f t="shared" ref="E113:E121" si="17">IF(IFERROR(SEARCH(GP,C113,1),0)&gt;0,1,0)</f>
        <v>1</v>
      </c>
      <c r="G113" s="3" t="str">
        <f t="shared" si="10"/>
        <v>PIREO "Procesos de Integración, Regionalización y Estructuras Organizacionales"</v>
      </c>
      <c r="H113" s="3">
        <f t="shared" si="11"/>
        <v>22</v>
      </c>
      <c r="BA113" s="344" t="s">
        <v>165</v>
      </c>
      <c r="BB113" s="289" t="s">
        <v>730</v>
      </c>
      <c r="BC113" s="290">
        <f>COUNTIF(BA$4:BA113,BA113)</f>
        <v>2</v>
      </c>
      <c r="BD113" s="290">
        <f>ROW()</f>
        <v>113</v>
      </c>
      <c r="BE113" s="290">
        <f t="shared" si="13"/>
        <v>1</v>
      </c>
    </row>
    <row r="114" spans="2:57" x14ac:dyDescent="0.25">
      <c r="B114" s="3">
        <f>IF(E114=1,SUM($E$49:E114),0)</f>
        <v>66</v>
      </c>
      <c r="C114" s="287" t="s">
        <v>690</v>
      </c>
      <c r="D114" s="287">
        <v>39</v>
      </c>
      <c r="E114" s="99">
        <f t="shared" si="17"/>
        <v>1</v>
      </c>
      <c r="G114" s="3" t="str">
        <f t="shared" ref="G114:G121" si="18">IFERROR(VLOOKUP(ROW()-48,$B$48:$E$121,2,0),"")</f>
        <v>PRODUCCION, INNOVACION Y TECNOLOGIA</v>
      </c>
      <c r="H114" s="3">
        <f t="shared" ref="H114:H121" si="19">IFERROR(VLOOKUP(ROW()-48,$B$48:$E$121,3,0),0)</f>
        <v>39</v>
      </c>
      <c r="BA114" s="344" t="s">
        <v>165</v>
      </c>
      <c r="BB114" s="289" t="s">
        <v>42</v>
      </c>
      <c r="BC114" s="290">
        <f>COUNTIF(BA$4:BA114,BA114)</f>
        <v>3</v>
      </c>
      <c r="BD114" s="290">
        <f>ROW()</f>
        <v>114</v>
      </c>
      <c r="BE114" s="290">
        <f t="shared" si="13"/>
        <v>1</v>
      </c>
    </row>
    <row r="115" spans="2:57" x14ac:dyDescent="0.25">
      <c r="B115" s="3">
        <f>IF(E115=1,SUM($E$49:E115),0)</f>
        <v>67</v>
      </c>
      <c r="C115" s="287" t="s">
        <v>678</v>
      </c>
      <c r="D115" s="287">
        <v>18</v>
      </c>
      <c r="E115" s="99">
        <f t="shared" si="17"/>
        <v>1</v>
      </c>
      <c r="G115" s="3" t="str">
        <f t="shared" si="18"/>
        <v>PROPPIO: Procesos organizacionales, programaticos y políticos para la promoción del desarrollo</v>
      </c>
      <c r="H115" s="3">
        <f t="shared" si="19"/>
        <v>18</v>
      </c>
      <c r="BA115" s="344" t="s">
        <v>165</v>
      </c>
      <c r="BB115" s="289" t="s">
        <v>46</v>
      </c>
      <c r="BC115" s="290">
        <f>COUNTIF(BA$4:BA115,BA115)</f>
        <v>4</v>
      </c>
      <c r="BD115" s="290">
        <f>ROW()</f>
        <v>115</v>
      </c>
      <c r="BE115" s="290">
        <f t="shared" si="13"/>
        <v>1</v>
      </c>
    </row>
    <row r="116" spans="2:57" x14ac:dyDescent="0.25">
      <c r="B116" s="3">
        <f>IF(E116=1,SUM($E$49:E116),0)</f>
        <v>68</v>
      </c>
      <c r="C116" s="287" t="s">
        <v>944</v>
      </c>
      <c r="D116" s="287">
        <v>17</v>
      </c>
      <c r="E116" s="99">
        <f t="shared" si="17"/>
        <v>1</v>
      </c>
      <c r="G116" s="3" t="str">
        <f t="shared" si="18"/>
        <v>Red de estudios sociojurídicos comparados y políticas públicas</v>
      </c>
      <c r="H116" s="3">
        <f t="shared" si="19"/>
        <v>17</v>
      </c>
      <c r="BA116" s="344" t="s">
        <v>165</v>
      </c>
      <c r="BB116" s="289" t="s">
        <v>731</v>
      </c>
      <c r="BC116" s="290">
        <f>COUNTIF(BA$4:BA116,BA116)</f>
        <v>5</v>
      </c>
      <c r="BD116" s="290">
        <f>ROW()</f>
        <v>116</v>
      </c>
      <c r="BE116" s="290">
        <f t="shared" si="13"/>
        <v>1</v>
      </c>
    </row>
    <row r="117" spans="2:57" x14ac:dyDescent="0.25">
      <c r="B117" s="3">
        <f>IF(E117=1,SUM($E$49:E117),0)</f>
        <v>69</v>
      </c>
      <c r="C117" s="287" t="s">
        <v>101</v>
      </c>
      <c r="D117" s="287">
        <v>56</v>
      </c>
      <c r="E117" s="99">
        <f t="shared" si="17"/>
        <v>1</v>
      </c>
      <c r="G117" s="3" t="str">
        <f t="shared" si="18"/>
        <v>Salud y Comportamiento</v>
      </c>
      <c r="H117" s="3">
        <f t="shared" si="19"/>
        <v>56</v>
      </c>
      <c r="BA117" s="344" t="s">
        <v>165</v>
      </c>
      <c r="BB117" s="289" t="s">
        <v>166</v>
      </c>
      <c r="BC117" s="290">
        <f>COUNTIF(BA$4:BA117,BA117)</f>
        <v>6</v>
      </c>
      <c r="BD117" s="290">
        <f>ROW()</f>
        <v>117</v>
      </c>
      <c r="BE117" s="290">
        <f t="shared" si="13"/>
        <v>1</v>
      </c>
    </row>
    <row r="118" spans="2:57" x14ac:dyDescent="0.25">
      <c r="B118" s="3">
        <f>IF(E118=1,SUM($E$49:E118),0)</f>
        <v>70</v>
      </c>
      <c r="C118" s="287" t="s">
        <v>131</v>
      </c>
      <c r="D118" s="287">
        <v>30</v>
      </c>
      <c r="E118" s="99">
        <f t="shared" si="17"/>
        <v>1</v>
      </c>
      <c r="G118" s="3" t="str">
        <f t="shared" si="18"/>
        <v>Sociedad, Estrategia y Seguridad</v>
      </c>
      <c r="H118" s="3">
        <f t="shared" si="19"/>
        <v>30</v>
      </c>
      <c r="BA118" s="344" t="s">
        <v>167</v>
      </c>
      <c r="BB118" s="289" t="s">
        <v>168</v>
      </c>
      <c r="BC118" s="290">
        <f>COUNTIF(BA$4:BA118,BA118)</f>
        <v>1</v>
      </c>
      <c r="BD118" s="290">
        <f>ROW()</f>
        <v>118</v>
      </c>
      <c r="BE118" s="290">
        <f t="shared" si="13"/>
        <v>1</v>
      </c>
    </row>
    <row r="119" spans="2:57" x14ac:dyDescent="0.25">
      <c r="B119" s="3">
        <f>IF(E119=1,SUM($E$49:E119),0)</f>
        <v>71</v>
      </c>
      <c r="C119" s="348" t="s">
        <v>689</v>
      </c>
      <c r="D119" s="287">
        <v>37</v>
      </c>
      <c r="E119" s="99">
        <f t="shared" si="17"/>
        <v>1</v>
      </c>
      <c r="G119" s="3" t="str">
        <f t="shared" si="18"/>
        <v>TIGUM: Grupo de Investigacion en Telemedicina Universidad Militar</v>
      </c>
      <c r="H119" s="3">
        <f t="shared" si="19"/>
        <v>37</v>
      </c>
      <c r="BA119" s="344" t="s">
        <v>167</v>
      </c>
      <c r="BB119" s="289" t="s">
        <v>169</v>
      </c>
      <c r="BC119" s="290">
        <f>COUNTIF(BA$4:BA119,BA119)</f>
        <v>2</v>
      </c>
      <c r="BD119" s="290">
        <f>ROW()</f>
        <v>119</v>
      </c>
      <c r="BE119" s="290">
        <f t="shared" si="13"/>
        <v>1</v>
      </c>
    </row>
    <row r="120" spans="2:57" x14ac:dyDescent="0.25">
      <c r="B120" s="3">
        <f>IF(E120=1,SUM($E$49:E120),0)</f>
        <v>72</v>
      </c>
      <c r="C120" s="287" t="s">
        <v>129</v>
      </c>
      <c r="D120" s="287">
        <v>45</v>
      </c>
      <c r="E120" s="99">
        <f t="shared" si="17"/>
        <v>1</v>
      </c>
      <c r="G120" s="3" t="str">
        <f t="shared" si="18"/>
        <v>Tratamiento de agua</v>
      </c>
      <c r="H120" s="3">
        <f t="shared" si="19"/>
        <v>45</v>
      </c>
      <c r="BA120" s="344" t="s">
        <v>167</v>
      </c>
      <c r="BB120" s="289" t="s">
        <v>732</v>
      </c>
      <c r="BC120" s="290">
        <f>COUNTIF(BA$4:BA120,BA120)</f>
        <v>3</v>
      </c>
      <c r="BD120" s="290">
        <f>ROW()</f>
        <v>120</v>
      </c>
      <c r="BE120" s="290">
        <f t="shared" si="13"/>
        <v>1</v>
      </c>
    </row>
    <row r="121" spans="2:57" x14ac:dyDescent="0.25">
      <c r="B121" s="3">
        <f>IF(E121=1,SUM($E$49:E121),0)</f>
        <v>73</v>
      </c>
      <c r="C121" s="287" t="s">
        <v>92</v>
      </c>
      <c r="D121" s="287">
        <v>38</v>
      </c>
      <c r="E121" s="99">
        <f t="shared" si="17"/>
        <v>1</v>
      </c>
      <c r="G121" s="3" t="str">
        <f t="shared" si="18"/>
        <v>VOLTA - GMCDP</v>
      </c>
      <c r="H121" s="3">
        <f t="shared" si="19"/>
        <v>38</v>
      </c>
      <c r="BA121" s="344" t="s">
        <v>170</v>
      </c>
      <c r="BB121" s="289" t="s">
        <v>733</v>
      </c>
      <c r="BC121" s="290">
        <f>COUNTIF(BA$4:BA121,BA121)</f>
        <v>1</v>
      </c>
      <c r="BD121" s="290">
        <f>ROW()</f>
        <v>121</v>
      </c>
      <c r="BE121" s="290">
        <f t="shared" si="13"/>
        <v>1</v>
      </c>
    </row>
    <row r="122" spans="2:57" x14ac:dyDescent="0.25">
      <c r="BA122" s="344" t="s">
        <v>170</v>
      </c>
      <c r="BB122" s="289" t="s">
        <v>734</v>
      </c>
      <c r="BC122" s="290">
        <f>COUNTIF(BA$4:BA122,BA122)</f>
        <v>2</v>
      </c>
      <c r="BD122" s="290">
        <f>ROW()</f>
        <v>122</v>
      </c>
      <c r="BE122" s="290">
        <f t="shared" si="13"/>
        <v>1</v>
      </c>
    </row>
    <row r="123" spans="2:57" x14ac:dyDescent="0.25">
      <c r="BA123" s="344" t="s">
        <v>170</v>
      </c>
      <c r="BB123" s="289" t="s">
        <v>735</v>
      </c>
      <c r="BC123" s="290">
        <f>COUNTIF(BA$4:BA123,BA123)</f>
        <v>3</v>
      </c>
      <c r="BD123" s="290">
        <f>ROW()</f>
        <v>123</v>
      </c>
      <c r="BE123" s="290">
        <f t="shared" si="13"/>
        <v>1</v>
      </c>
    </row>
    <row r="124" spans="2:57" x14ac:dyDescent="0.25">
      <c r="BA124" s="344" t="s">
        <v>170</v>
      </c>
      <c r="BB124" s="289" t="s">
        <v>171</v>
      </c>
      <c r="BC124" s="290">
        <f>COUNTIF(BA$4:BA124,BA124)</f>
        <v>4</v>
      </c>
      <c r="BD124" s="290">
        <f>ROW()</f>
        <v>124</v>
      </c>
      <c r="BE124" s="290">
        <f t="shared" si="13"/>
        <v>1</v>
      </c>
    </row>
    <row r="125" spans="2:57" x14ac:dyDescent="0.25">
      <c r="BA125" s="344" t="s">
        <v>604</v>
      </c>
      <c r="BB125" s="289" t="s">
        <v>605</v>
      </c>
      <c r="BC125" s="290">
        <f>COUNTIF(BA$4:BA125,BA125)</f>
        <v>1</v>
      </c>
      <c r="BD125" s="290">
        <f>ROW()</f>
        <v>125</v>
      </c>
      <c r="BE125" s="290">
        <f t="shared" si="13"/>
        <v>1</v>
      </c>
    </row>
    <row r="126" spans="2:57" x14ac:dyDescent="0.25">
      <c r="BA126" s="344" t="s">
        <v>604</v>
      </c>
      <c r="BB126" s="289" t="s">
        <v>736</v>
      </c>
      <c r="BC126" s="290">
        <f>COUNTIF(BA$4:BA126,BA126)</f>
        <v>2</v>
      </c>
      <c r="BD126" s="290">
        <f>ROW()</f>
        <v>126</v>
      </c>
      <c r="BE126" s="290">
        <f t="shared" si="13"/>
        <v>1</v>
      </c>
    </row>
    <row r="127" spans="2:57" x14ac:dyDescent="0.25">
      <c r="BA127" s="344" t="s">
        <v>604</v>
      </c>
      <c r="BB127" s="289" t="s">
        <v>606</v>
      </c>
      <c r="BC127" s="290">
        <f>COUNTIF(BA$4:BA127,BA127)</f>
        <v>3</v>
      </c>
      <c r="BD127" s="290">
        <f>ROW()</f>
        <v>127</v>
      </c>
      <c r="BE127" s="290">
        <f t="shared" si="13"/>
        <v>1</v>
      </c>
    </row>
    <row r="128" spans="2:57" x14ac:dyDescent="0.25">
      <c r="BA128" s="344" t="s">
        <v>604</v>
      </c>
      <c r="BB128" s="289" t="s">
        <v>607</v>
      </c>
      <c r="BC128" s="290">
        <f>COUNTIF(BA$4:BA128,BA128)</f>
        <v>4</v>
      </c>
      <c r="BD128" s="290">
        <f>ROW()</f>
        <v>128</v>
      </c>
      <c r="BE128" s="290">
        <f t="shared" si="13"/>
        <v>1</v>
      </c>
    </row>
    <row r="129" spans="53:57" x14ac:dyDescent="0.25">
      <c r="BA129" s="344" t="s">
        <v>604</v>
      </c>
      <c r="BB129" s="289" t="s">
        <v>608</v>
      </c>
      <c r="BC129" s="290">
        <f>COUNTIF(BA$4:BA129,BA129)</f>
        <v>5</v>
      </c>
      <c r="BD129" s="290">
        <f>ROW()</f>
        <v>129</v>
      </c>
      <c r="BE129" s="290">
        <f t="shared" si="13"/>
        <v>1</v>
      </c>
    </row>
    <row r="130" spans="53:57" x14ac:dyDescent="0.25">
      <c r="BA130" s="344" t="s">
        <v>172</v>
      </c>
      <c r="BB130" s="289" t="s">
        <v>737</v>
      </c>
      <c r="BC130" s="290">
        <f>COUNTIF(BA$4:BA130,BA130)</f>
        <v>1</v>
      </c>
      <c r="BD130" s="290">
        <f>ROW()</f>
        <v>130</v>
      </c>
      <c r="BE130" s="290">
        <f t="shared" si="13"/>
        <v>1</v>
      </c>
    </row>
    <row r="131" spans="53:57" x14ac:dyDescent="0.25">
      <c r="BA131" s="344" t="s">
        <v>172</v>
      </c>
      <c r="BB131" s="289" t="s">
        <v>738</v>
      </c>
      <c r="BC131" s="290">
        <f>COUNTIF(BA$4:BA131,BA131)</f>
        <v>2</v>
      </c>
      <c r="BD131" s="290">
        <f>ROW()</f>
        <v>131</v>
      </c>
      <c r="BE131" s="290">
        <f t="shared" si="13"/>
        <v>1</v>
      </c>
    </row>
    <row r="132" spans="53:57" x14ac:dyDescent="0.25">
      <c r="BA132" s="344" t="s">
        <v>172</v>
      </c>
      <c r="BB132" s="289" t="s">
        <v>739</v>
      </c>
      <c r="BC132" s="290">
        <f>COUNTIF(BA$4:BA132,BA132)</f>
        <v>3</v>
      </c>
      <c r="BD132" s="290">
        <f>ROW()</f>
        <v>132</v>
      </c>
      <c r="BE132" s="290">
        <f t="shared" ref="BE132:BE195" si="20">COUNTIF($AQ$3:$AQ$83,BA132)</f>
        <v>1</v>
      </c>
    </row>
    <row r="133" spans="53:57" x14ac:dyDescent="0.25">
      <c r="BA133" s="344" t="s">
        <v>172</v>
      </c>
      <c r="BB133" s="289" t="s">
        <v>740</v>
      </c>
      <c r="BC133" s="290">
        <f>COUNTIF(BA$4:BA133,BA133)</f>
        <v>4</v>
      </c>
      <c r="BD133" s="290">
        <f>ROW()</f>
        <v>133</v>
      </c>
      <c r="BE133" s="290">
        <f t="shared" si="20"/>
        <v>1</v>
      </c>
    </row>
    <row r="134" spans="53:57" x14ac:dyDescent="0.25">
      <c r="BA134" s="344" t="s">
        <v>174</v>
      </c>
      <c r="BB134" s="289" t="s">
        <v>1057</v>
      </c>
      <c r="BC134" s="290">
        <f>COUNTIF(BA$4:BA134,BA134)</f>
        <v>1</v>
      </c>
      <c r="BD134" s="290">
        <f>ROW()</f>
        <v>134</v>
      </c>
      <c r="BE134" s="290">
        <f t="shared" si="20"/>
        <v>1</v>
      </c>
    </row>
    <row r="135" spans="53:57" x14ac:dyDescent="0.25">
      <c r="BA135" s="344" t="s">
        <v>174</v>
      </c>
      <c r="BB135" s="289" t="s">
        <v>1058</v>
      </c>
      <c r="BC135" s="290">
        <f>COUNTIF(BA$4:BA135,BA135)</f>
        <v>2</v>
      </c>
      <c r="BD135" s="290">
        <f>ROW()</f>
        <v>135</v>
      </c>
      <c r="BE135" s="290">
        <f t="shared" si="20"/>
        <v>1</v>
      </c>
    </row>
    <row r="136" spans="53:57" x14ac:dyDescent="0.25">
      <c r="BA136" s="344" t="s">
        <v>174</v>
      </c>
      <c r="BB136" s="289" t="s">
        <v>1059</v>
      </c>
      <c r="BC136" s="290">
        <f>COUNTIF(BA$4:BA136,BA136)</f>
        <v>3</v>
      </c>
      <c r="BD136" s="290">
        <f>ROW()</f>
        <v>136</v>
      </c>
      <c r="BE136" s="290">
        <f t="shared" si="20"/>
        <v>1</v>
      </c>
    </row>
    <row r="137" spans="53:57" x14ac:dyDescent="0.25">
      <c r="BA137" s="344" t="s">
        <v>174</v>
      </c>
      <c r="BB137" s="289" t="s">
        <v>1060</v>
      </c>
      <c r="BC137" s="290">
        <f>COUNTIF(BA$4:BA137,BA137)</f>
        <v>4</v>
      </c>
      <c r="BD137" s="290">
        <f>ROW()</f>
        <v>137</v>
      </c>
      <c r="BE137" s="290">
        <f t="shared" si="20"/>
        <v>1</v>
      </c>
    </row>
    <row r="138" spans="53:57" x14ac:dyDescent="0.25">
      <c r="BA138" s="344" t="s">
        <v>174</v>
      </c>
      <c r="BB138" s="289" t="s">
        <v>1061</v>
      </c>
      <c r="BC138" s="290">
        <f>COUNTIF(BA$4:BA138,BA138)</f>
        <v>5</v>
      </c>
      <c r="BD138" s="290">
        <f>ROW()</f>
        <v>138</v>
      </c>
      <c r="BE138" s="290">
        <f t="shared" si="20"/>
        <v>1</v>
      </c>
    </row>
    <row r="139" spans="53:57" x14ac:dyDescent="0.25">
      <c r="BA139" s="344" t="s">
        <v>175</v>
      </c>
      <c r="BB139" s="289" t="s">
        <v>176</v>
      </c>
      <c r="BC139" s="290">
        <f>COUNTIF(BA$4:BA139,BA139)</f>
        <v>1</v>
      </c>
      <c r="BD139" s="290">
        <f>ROW()</f>
        <v>139</v>
      </c>
      <c r="BE139" s="290">
        <f t="shared" si="20"/>
        <v>1</v>
      </c>
    </row>
    <row r="140" spans="53:57" x14ac:dyDescent="0.25">
      <c r="BA140" s="344" t="s">
        <v>175</v>
      </c>
      <c r="BB140" s="289" t="s">
        <v>741</v>
      </c>
      <c r="BC140" s="290">
        <f>COUNTIF(BA$4:BA140,BA140)</f>
        <v>2</v>
      </c>
      <c r="BD140" s="290">
        <f>ROW()</f>
        <v>140</v>
      </c>
      <c r="BE140" s="290">
        <f t="shared" si="20"/>
        <v>1</v>
      </c>
    </row>
    <row r="141" spans="53:57" x14ac:dyDescent="0.25">
      <c r="BA141" s="344" t="s">
        <v>175</v>
      </c>
      <c r="BB141" s="289" t="s">
        <v>1062</v>
      </c>
      <c r="BC141" s="290">
        <f>COUNTIF(BA$4:BA141,BA141)</f>
        <v>3</v>
      </c>
      <c r="BD141" s="290">
        <f>ROW()</f>
        <v>141</v>
      </c>
      <c r="BE141" s="290">
        <f t="shared" si="20"/>
        <v>1</v>
      </c>
    </row>
    <row r="142" spans="53:57" x14ac:dyDescent="0.25">
      <c r="BA142" s="344" t="s">
        <v>175</v>
      </c>
      <c r="BB142" s="289" t="s">
        <v>177</v>
      </c>
      <c r="BC142" s="290">
        <f>COUNTIF(BA$4:BA142,BA142)</f>
        <v>4</v>
      </c>
      <c r="BD142" s="290">
        <f>ROW()</f>
        <v>142</v>
      </c>
      <c r="BE142" s="290">
        <f t="shared" si="20"/>
        <v>1</v>
      </c>
    </row>
    <row r="143" spans="53:57" x14ac:dyDescent="0.25">
      <c r="BA143" s="344" t="s">
        <v>175</v>
      </c>
      <c r="BB143" s="289" t="s">
        <v>178</v>
      </c>
      <c r="BC143" s="290">
        <f>COUNTIF(BA$4:BA143,BA143)</f>
        <v>5</v>
      </c>
      <c r="BD143" s="290">
        <f>ROW()</f>
        <v>143</v>
      </c>
      <c r="BE143" s="290">
        <f t="shared" si="20"/>
        <v>1</v>
      </c>
    </row>
    <row r="144" spans="53:57" x14ac:dyDescent="0.25">
      <c r="BA144" s="344" t="s">
        <v>179</v>
      </c>
      <c r="BB144" s="289" t="s">
        <v>1063</v>
      </c>
      <c r="BC144" s="290">
        <f>COUNTIF(BA$4:BA144,BA144)</f>
        <v>1</v>
      </c>
      <c r="BD144" s="290">
        <f>ROW()</f>
        <v>144</v>
      </c>
      <c r="BE144" s="290">
        <f t="shared" si="20"/>
        <v>1</v>
      </c>
    </row>
    <row r="145" spans="53:57" x14ac:dyDescent="0.25">
      <c r="BA145" s="344" t="s">
        <v>179</v>
      </c>
      <c r="BB145" s="289" t="s">
        <v>1064</v>
      </c>
      <c r="BC145" s="290">
        <f>COUNTIF(BA$4:BA145,BA145)</f>
        <v>2</v>
      </c>
      <c r="BD145" s="290">
        <f>ROW()</f>
        <v>145</v>
      </c>
      <c r="BE145" s="290">
        <f t="shared" si="20"/>
        <v>1</v>
      </c>
    </row>
    <row r="146" spans="53:57" x14ac:dyDescent="0.25">
      <c r="BA146" s="344" t="s">
        <v>179</v>
      </c>
      <c r="BB146" s="289" t="s">
        <v>1065</v>
      </c>
      <c r="BC146" s="290">
        <f>COUNTIF(BA$4:BA146,BA146)</f>
        <v>3</v>
      </c>
      <c r="BD146" s="290">
        <f>ROW()</f>
        <v>146</v>
      </c>
      <c r="BE146" s="290">
        <f t="shared" si="20"/>
        <v>1</v>
      </c>
    </row>
    <row r="147" spans="53:57" x14ac:dyDescent="0.25">
      <c r="BA147" s="344" t="s">
        <v>179</v>
      </c>
      <c r="BB147" s="289" t="s">
        <v>1066</v>
      </c>
      <c r="BC147" s="290">
        <f>COUNTIF(BA$4:BA147,BA147)</f>
        <v>4</v>
      </c>
      <c r="BD147" s="290">
        <f>ROW()</f>
        <v>147</v>
      </c>
      <c r="BE147" s="290">
        <f t="shared" si="20"/>
        <v>1</v>
      </c>
    </row>
    <row r="148" spans="53:57" x14ac:dyDescent="0.25">
      <c r="BA148" s="344" t="s">
        <v>179</v>
      </c>
      <c r="BB148" s="289" t="s">
        <v>1067</v>
      </c>
      <c r="BC148" s="290">
        <f>COUNTIF(BA$4:BA148,BA148)</f>
        <v>5</v>
      </c>
      <c r="BD148" s="290">
        <f>ROW()</f>
        <v>148</v>
      </c>
      <c r="BE148" s="290">
        <f t="shared" si="20"/>
        <v>1</v>
      </c>
    </row>
    <row r="149" spans="53:57" x14ac:dyDescent="0.25">
      <c r="BA149" s="344" t="s">
        <v>179</v>
      </c>
      <c r="BB149" s="289" t="s">
        <v>1068</v>
      </c>
      <c r="BC149" s="290">
        <f>COUNTIF(BA$4:BA149,BA149)</f>
        <v>6</v>
      </c>
      <c r="BD149" s="290">
        <f>ROW()</f>
        <v>149</v>
      </c>
      <c r="BE149" s="290">
        <f t="shared" si="20"/>
        <v>1</v>
      </c>
    </row>
    <row r="150" spans="53:57" x14ac:dyDescent="0.25">
      <c r="BA150" s="344" t="s">
        <v>219</v>
      </c>
      <c r="BB150" s="289" t="s">
        <v>220</v>
      </c>
      <c r="BC150" s="290">
        <f>COUNTIF(BA$4:BA150,BA150)</f>
        <v>1</v>
      </c>
      <c r="BD150" s="290">
        <f>ROW()</f>
        <v>150</v>
      </c>
      <c r="BE150" s="290">
        <f t="shared" si="20"/>
        <v>1</v>
      </c>
    </row>
    <row r="151" spans="53:57" x14ac:dyDescent="0.25">
      <c r="BA151" s="344" t="s">
        <v>219</v>
      </c>
      <c r="BB151" s="289" t="s">
        <v>742</v>
      </c>
      <c r="BC151" s="290">
        <f>COUNTIF(BA$4:BA151,BA151)</f>
        <v>2</v>
      </c>
      <c r="BD151" s="290">
        <f>ROW()</f>
        <v>151</v>
      </c>
      <c r="BE151" s="290">
        <f t="shared" si="20"/>
        <v>1</v>
      </c>
    </row>
    <row r="152" spans="53:57" x14ac:dyDescent="0.25">
      <c r="BA152" s="344" t="s">
        <v>219</v>
      </c>
      <c r="BB152" s="289" t="s">
        <v>743</v>
      </c>
      <c r="BC152" s="290">
        <f>COUNTIF(BA$4:BA152,BA152)</f>
        <v>3</v>
      </c>
      <c r="BD152" s="290">
        <f>ROW()</f>
        <v>152</v>
      </c>
      <c r="BE152" s="290">
        <f t="shared" si="20"/>
        <v>1</v>
      </c>
    </row>
    <row r="153" spans="53:57" x14ac:dyDescent="0.25">
      <c r="BA153" s="344" t="s">
        <v>219</v>
      </c>
      <c r="BB153" s="289" t="s">
        <v>744</v>
      </c>
      <c r="BC153" s="290">
        <f>COUNTIF(BA$4:BA153,BA153)</f>
        <v>4</v>
      </c>
      <c r="BD153" s="290">
        <f>ROW()</f>
        <v>153</v>
      </c>
      <c r="BE153" s="290">
        <f t="shared" si="20"/>
        <v>1</v>
      </c>
    </row>
    <row r="154" spans="53:57" x14ac:dyDescent="0.25">
      <c r="BA154" s="344" t="s">
        <v>221</v>
      </c>
      <c r="BB154" s="289" t="s">
        <v>745</v>
      </c>
      <c r="BC154" s="290">
        <f>COUNTIF(BA$4:BA154,BA154)</f>
        <v>1</v>
      </c>
      <c r="BD154" s="290">
        <f>ROW()</f>
        <v>154</v>
      </c>
      <c r="BE154" s="290">
        <f t="shared" si="20"/>
        <v>1</v>
      </c>
    </row>
    <row r="155" spans="53:57" x14ac:dyDescent="0.25">
      <c r="BA155" s="344" t="s">
        <v>221</v>
      </c>
      <c r="BB155" s="289" t="s">
        <v>746</v>
      </c>
      <c r="BC155" s="290">
        <f>COUNTIF(BA$4:BA155,BA155)</f>
        <v>2</v>
      </c>
      <c r="BD155" s="290">
        <f>ROW()</f>
        <v>155</v>
      </c>
      <c r="BE155" s="290">
        <f t="shared" si="20"/>
        <v>1</v>
      </c>
    </row>
    <row r="156" spans="53:57" x14ac:dyDescent="0.25">
      <c r="BA156" s="344" t="s">
        <v>221</v>
      </c>
      <c r="BB156" s="289" t="s">
        <v>747</v>
      </c>
      <c r="BC156" s="290">
        <f>COUNTIF(BA$4:BA156,BA156)</f>
        <v>3</v>
      </c>
      <c r="BD156" s="290">
        <f>ROW()</f>
        <v>156</v>
      </c>
      <c r="BE156" s="290">
        <f t="shared" si="20"/>
        <v>1</v>
      </c>
    </row>
    <row r="157" spans="53:57" x14ac:dyDescent="0.25">
      <c r="BA157" s="344" t="s">
        <v>587</v>
      </c>
      <c r="BB157" s="289" t="s">
        <v>206</v>
      </c>
      <c r="BC157" s="290">
        <f>COUNTIF(BA$4:BA157,BA157)</f>
        <v>1</v>
      </c>
      <c r="BD157" s="290">
        <f>ROW()</f>
        <v>157</v>
      </c>
      <c r="BE157" s="290">
        <f t="shared" si="20"/>
        <v>1</v>
      </c>
    </row>
    <row r="158" spans="53:57" x14ac:dyDescent="0.25">
      <c r="BA158" s="344" t="s">
        <v>587</v>
      </c>
      <c r="BB158" s="289" t="s">
        <v>748</v>
      </c>
      <c r="BC158" s="290">
        <f>COUNTIF(BA$4:BA158,BA158)</f>
        <v>2</v>
      </c>
      <c r="BD158" s="290">
        <f>ROW()</f>
        <v>158</v>
      </c>
      <c r="BE158" s="290">
        <f t="shared" si="20"/>
        <v>1</v>
      </c>
    </row>
    <row r="159" spans="53:57" x14ac:dyDescent="0.25">
      <c r="BA159" s="344" t="s">
        <v>180</v>
      </c>
      <c r="BB159" s="289" t="s">
        <v>749</v>
      </c>
      <c r="BC159" s="290">
        <f>COUNTIF(BA$4:BA159,BA159)</f>
        <v>1</v>
      </c>
      <c r="BD159" s="290">
        <f>ROW()</f>
        <v>159</v>
      </c>
      <c r="BE159" s="290">
        <f t="shared" si="20"/>
        <v>1</v>
      </c>
    </row>
    <row r="160" spans="53:57" x14ac:dyDescent="0.25">
      <c r="BA160" s="344" t="s">
        <v>180</v>
      </c>
      <c r="BB160" s="289" t="s">
        <v>182</v>
      </c>
      <c r="BC160" s="290">
        <f>COUNTIF(BA$4:BA160,BA160)</f>
        <v>2</v>
      </c>
      <c r="BD160" s="290">
        <f>ROW()</f>
        <v>160</v>
      </c>
      <c r="BE160" s="290">
        <f t="shared" si="20"/>
        <v>1</v>
      </c>
    </row>
    <row r="161" spans="53:57" x14ac:dyDescent="0.25">
      <c r="BA161" s="344" t="s">
        <v>180</v>
      </c>
      <c r="BB161" s="289" t="s">
        <v>181</v>
      </c>
      <c r="BC161" s="290">
        <f>COUNTIF(BA$4:BA161,BA161)</f>
        <v>3</v>
      </c>
      <c r="BD161" s="290">
        <f>ROW()</f>
        <v>161</v>
      </c>
      <c r="BE161" s="290">
        <f t="shared" si="20"/>
        <v>1</v>
      </c>
    </row>
    <row r="162" spans="53:57" x14ac:dyDescent="0.25">
      <c r="BA162" s="344" t="s">
        <v>183</v>
      </c>
      <c r="BB162" s="289" t="s">
        <v>750</v>
      </c>
      <c r="BC162" s="290">
        <f>COUNTIF(BA$4:BA162,BA162)</f>
        <v>1</v>
      </c>
      <c r="BD162" s="290">
        <f>ROW()</f>
        <v>162</v>
      </c>
      <c r="BE162" s="290">
        <f t="shared" si="20"/>
        <v>1</v>
      </c>
    </row>
    <row r="163" spans="53:57" x14ac:dyDescent="0.25">
      <c r="BA163" s="344" t="s">
        <v>183</v>
      </c>
      <c r="BB163" s="289" t="s">
        <v>751</v>
      </c>
      <c r="BC163" s="290">
        <f>COUNTIF(BA$4:BA163,BA163)</f>
        <v>2</v>
      </c>
      <c r="BD163" s="290">
        <f>ROW()</f>
        <v>163</v>
      </c>
      <c r="BE163" s="290">
        <f t="shared" si="20"/>
        <v>1</v>
      </c>
    </row>
    <row r="164" spans="53:57" x14ac:dyDescent="0.25">
      <c r="BA164" s="344" t="s">
        <v>183</v>
      </c>
      <c r="BB164" s="289" t="s">
        <v>752</v>
      </c>
      <c r="BC164" s="290">
        <f>COUNTIF(BA$4:BA164,BA164)</f>
        <v>3</v>
      </c>
      <c r="BD164" s="290">
        <f>ROW()</f>
        <v>164</v>
      </c>
      <c r="BE164" s="290">
        <f t="shared" si="20"/>
        <v>1</v>
      </c>
    </row>
    <row r="165" spans="53:57" x14ac:dyDescent="0.25">
      <c r="BA165" s="344" t="s">
        <v>184</v>
      </c>
      <c r="BB165" s="289" t="s">
        <v>1069</v>
      </c>
      <c r="BC165" s="290">
        <f>COUNTIF(BA$4:BA165,BA165)</f>
        <v>1</v>
      </c>
      <c r="BD165" s="290">
        <f>ROW()</f>
        <v>165</v>
      </c>
      <c r="BE165" s="290">
        <f t="shared" si="20"/>
        <v>1</v>
      </c>
    </row>
    <row r="166" spans="53:57" x14ac:dyDescent="0.25">
      <c r="BA166" s="344" t="s">
        <v>184</v>
      </c>
      <c r="BB166" s="289" t="s">
        <v>1070</v>
      </c>
      <c r="BC166" s="290">
        <f>COUNTIF(BA$4:BA166,BA166)</f>
        <v>2</v>
      </c>
      <c r="BD166" s="290">
        <f>ROW()</f>
        <v>166</v>
      </c>
      <c r="BE166" s="290">
        <f t="shared" si="20"/>
        <v>1</v>
      </c>
    </row>
    <row r="167" spans="53:57" x14ac:dyDescent="0.25">
      <c r="BA167" s="344" t="s">
        <v>185</v>
      </c>
      <c r="BB167" s="289" t="s">
        <v>753</v>
      </c>
      <c r="BC167" s="290">
        <f>COUNTIF(BA$4:BA167,BA167)</f>
        <v>1</v>
      </c>
      <c r="BD167" s="290">
        <f>ROW()</f>
        <v>167</v>
      </c>
      <c r="BE167" s="290">
        <f t="shared" si="20"/>
        <v>1</v>
      </c>
    </row>
    <row r="168" spans="53:57" x14ac:dyDescent="0.25">
      <c r="BA168" s="344" t="s">
        <v>185</v>
      </c>
      <c r="BB168" s="289" t="s">
        <v>1071</v>
      </c>
      <c r="BC168" s="290">
        <f>COUNTIF(BA$4:BA168,BA168)</f>
        <v>2</v>
      </c>
      <c r="BD168" s="290">
        <f>ROW()</f>
        <v>168</v>
      </c>
      <c r="BE168" s="290">
        <f t="shared" si="20"/>
        <v>1</v>
      </c>
    </row>
    <row r="169" spans="53:57" x14ac:dyDescent="0.25">
      <c r="BA169" s="344" t="s">
        <v>185</v>
      </c>
      <c r="BB169" s="289" t="s">
        <v>754</v>
      </c>
      <c r="BC169" s="290">
        <f>COUNTIF(BA$4:BA169,BA169)</f>
        <v>3</v>
      </c>
      <c r="BD169" s="290">
        <f>ROW()</f>
        <v>169</v>
      </c>
      <c r="BE169" s="290">
        <f t="shared" si="20"/>
        <v>1</v>
      </c>
    </row>
    <row r="170" spans="53:57" x14ac:dyDescent="0.25">
      <c r="BA170" s="344" t="s">
        <v>185</v>
      </c>
      <c r="BB170" s="289" t="s">
        <v>186</v>
      </c>
      <c r="BC170" s="290">
        <f>COUNTIF(BA$4:BA170,BA170)</f>
        <v>4</v>
      </c>
      <c r="BD170" s="290">
        <f>ROW()</f>
        <v>170</v>
      </c>
      <c r="BE170" s="290">
        <f t="shared" si="20"/>
        <v>1</v>
      </c>
    </row>
    <row r="171" spans="53:57" x14ac:dyDescent="0.25">
      <c r="BA171" s="344" t="s">
        <v>187</v>
      </c>
      <c r="BB171" s="289" t="s">
        <v>755</v>
      </c>
      <c r="BC171" s="290">
        <f>COUNTIF(BA$4:BA171,BA171)</f>
        <v>1</v>
      </c>
      <c r="BD171" s="290">
        <f>ROW()</f>
        <v>171</v>
      </c>
      <c r="BE171" s="290">
        <f t="shared" si="20"/>
        <v>1</v>
      </c>
    </row>
    <row r="172" spans="53:57" x14ac:dyDescent="0.25">
      <c r="BA172" s="344" t="s">
        <v>188</v>
      </c>
      <c r="BB172" s="289" t="s">
        <v>190</v>
      </c>
      <c r="BC172" s="290">
        <f>COUNTIF(BA$4:BA172,BA172)</f>
        <v>1</v>
      </c>
      <c r="BD172" s="290">
        <f>ROW()</f>
        <v>172</v>
      </c>
      <c r="BE172" s="290">
        <f t="shared" si="20"/>
        <v>1</v>
      </c>
    </row>
    <row r="173" spans="53:57" x14ac:dyDescent="0.25">
      <c r="BA173" s="344" t="s">
        <v>188</v>
      </c>
      <c r="BB173" s="289" t="s">
        <v>756</v>
      </c>
      <c r="BC173" s="290">
        <f>COUNTIF(BA$4:BA173,BA173)</f>
        <v>2</v>
      </c>
      <c r="BD173" s="290">
        <f>ROW()</f>
        <v>173</v>
      </c>
      <c r="BE173" s="290">
        <f t="shared" si="20"/>
        <v>1</v>
      </c>
    </row>
    <row r="174" spans="53:57" x14ac:dyDescent="0.25">
      <c r="BA174" s="344" t="s">
        <v>188</v>
      </c>
      <c r="BB174" s="289" t="s">
        <v>189</v>
      </c>
      <c r="BC174" s="290">
        <f>COUNTIF(BA$4:BA174,BA174)</f>
        <v>3</v>
      </c>
      <c r="BD174" s="290">
        <f>ROW()</f>
        <v>174</v>
      </c>
      <c r="BE174" s="290">
        <f t="shared" si="20"/>
        <v>1</v>
      </c>
    </row>
    <row r="175" spans="53:57" x14ac:dyDescent="0.25">
      <c r="BA175" s="344" t="s">
        <v>188</v>
      </c>
      <c r="BB175" s="289" t="s">
        <v>757</v>
      </c>
      <c r="BC175" s="290">
        <f>COUNTIF(BA$4:BA175,BA175)</f>
        <v>4</v>
      </c>
      <c r="BD175" s="290">
        <f>ROW()</f>
        <v>175</v>
      </c>
      <c r="BE175" s="290">
        <f t="shared" si="20"/>
        <v>1</v>
      </c>
    </row>
    <row r="176" spans="53:57" x14ac:dyDescent="0.25">
      <c r="BA176" s="344" t="s">
        <v>188</v>
      </c>
      <c r="BB176" s="289" t="s">
        <v>758</v>
      </c>
      <c r="BC176" s="290">
        <f>COUNTIF(BA$4:BA176,BA176)</f>
        <v>5</v>
      </c>
      <c r="BD176" s="290">
        <f>ROW()</f>
        <v>176</v>
      </c>
      <c r="BE176" s="290">
        <f t="shared" si="20"/>
        <v>1</v>
      </c>
    </row>
    <row r="177" spans="53:57" x14ac:dyDescent="0.25">
      <c r="BA177" s="344" t="s">
        <v>188</v>
      </c>
      <c r="BB177" s="289" t="s">
        <v>759</v>
      </c>
      <c r="BC177" s="290">
        <f>COUNTIF(BA$4:BA177,BA177)</f>
        <v>6</v>
      </c>
      <c r="BD177" s="290">
        <f>ROW()</f>
        <v>177</v>
      </c>
      <c r="BE177" s="290">
        <f t="shared" si="20"/>
        <v>1</v>
      </c>
    </row>
    <row r="178" spans="53:57" x14ac:dyDescent="0.25">
      <c r="BA178" s="344" t="s">
        <v>188</v>
      </c>
      <c r="BB178" s="289" t="s">
        <v>760</v>
      </c>
      <c r="BC178" s="290">
        <f>COUNTIF(BA$4:BA178,BA178)</f>
        <v>7</v>
      </c>
      <c r="BD178" s="290">
        <f>ROW()</f>
        <v>178</v>
      </c>
      <c r="BE178" s="290">
        <f t="shared" si="20"/>
        <v>1</v>
      </c>
    </row>
    <row r="179" spans="53:57" x14ac:dyDescent="0.25">
      <c r="BA179" s="344" t="s">
        <v>188</v>
      </c>
      <c r="BB179" s="289" t="s">
        <v>761</v>
      </c>
      <c r="BC179" s="290">
        <f>COUNTIF(BA$4:BA179,BA179)</f>
        <v>8</v>
      </c>
      <c r="BD179" s="290">
        <f>ROW()</f>
        <v>179</v>
      </c>
      <c r="BE179" s="290">
        <f t="shared" si="20"/>
        <v>1</v>
      </c>
    </row>
    <row r="180" spans="53:57" x14ac:dyDescent="0.25">
      <c r="BA180" s="344" t="s">
        <v>188</v>
      </c>
      <c r="BB180" s="289" t="s">
        <v>762</v>
      </c>
      <c r="BC180" s="290">
        <f>COUNTIF(BA$4:BA180,BA180)</f>
        <v>9</v>
      </c>
      <c r="BD180" s="290">
        <f>ROW()</f>
        <v>180</v>
      </c>
      <c r="BE180" s="290">
        <f t="shared" si="20"/>
        <v>1</v>
      </c>
    </row>
    <row r="181" spans="53:57" x14ac:dyDescent="0.25">
      <c r="BA181" s="344" t="s">
        <v>191</v>
      </c>
      <c r="BB181" s="289" t="s">
        <v>763</v>
      </c>
      <c r="BC181" s="290">
        <f>COUNTIF(BA$4:BA181,BA181)</f>
        <v>1</v>
      </c>
      <c r="BD181" s="290">
        <f>ROW()</f>
        <v>181</v>
      </c>
      <c r="BE181" s="290">
        <f t="shared" si="20"/>
        <v>1</v>
      </c>
    </row>
    <row r="182" spans="53:57" x14ac:dyDescent="0.25">
      <c r="BA182" s="344" t="s">
        <v>191</v>
      </c>
      <c r="BB182" s="289" t="s">
        <v>1072</v>
      </c>
      <c r="BC182" s="290">
        <f>COUNTIF(BA$4:BA182,BA182)</f>
        <v>2</v>
      </c>
      <c r="BD182" s="290">
        <f>ROW()</f>
        <v>182</v>
      </c>
      <c r="BE182" s="290">
        <f t="shared" si="20"/>
        <v>1</v>
      </c>
    </row>
    <row r="183" spans="53:57" x14ac:dyDescent="0.25">
      <c r="BA183" s="344" t="s">
        <v>191</v>
      </c>
      <c r="BB183" s="289" t="s">
        <v>764</v>
      </c>
      <c r="BC183" s="290">
        <f>COUNTIF(BA$4:BA183,BA183)</f>
        <v>3</v>
      </c>
      <c r="BD183" s="290">
        <f>ROW()</f>
        <v>183</v>
      </c>
      <c r="BE183" s="290">
        <f t="shared" si="20"/>
        <v>1</v>
      </c>
    </row>
    <row r="184" spans="53:57" x14ac:dyDescent="0.25">
      <c r="BA184" s="344" t="s">
        <v>191</v>
      </c>
      <c r="BB184" s="289" t="s">
        <v>596</v>
      </c>
      <c r="BC184" s="290">
        <f>COUNTIF(BA$4:BA184,BA184)</f>
        <v>4</v>
      </c>
      <c r="BD184" s="290">
        <f>ROW()</f>
        <v>184</v>
      </c>
      <c r="BE184" s="290">
        <f t="shared" si="20"/>
        <v>1</v>
      </c>
    </row>
    <row r="185" spans="53:57" x14ac:dyDescent="0.25">
      <c r="BA185" s="344" t="s">
        <v>191</v>
      </c>
      <c r="BB185" s="289" t="s">
        <v>765</v>
      </c>
      <c r="BC185" s="290">
        <f>COUNTIF(BA$4:BA185,BA185)</f>
        <v>5</v>
      </c>
      <c r="BD185" s="290">
        <f>ROW()</f>
        <v>185</v>
      </c>
      <c r="BE185" s="290">
        <f t="shared" si="20"/>
        <v>1</v>
      </c>
    </row>
    <row r="186" spans="53:57" x14ac:dyDescent="0.25">
      <c r="BA186" s="344" t="s">
        <v>222</v>
      </c>
      <c r="BB186" s="289" t="s">
        <v>766</v>
      </c>
      <c r="BC186" s="290">
        <f>COUNTIF(BA$4:BA186,BA186)</f>
        <v>1</v>
      </c>
      <c r="BD186" s="290">
        <f>ROW()</f>
        <v>186</v>
      </c>
      <c r="BE186" s="290">
        <f t="shared" si="20"/>
        <v>1</v>
      </c>
    </row>
    <row r="187" spans="53:57" x14ac:dyDescent="0.25">
      <c r="BA187" s="344" t="s">
        <v>222</v>
      </c>
      <c r="BB187" s="289" t="s">
        <v>223</v>
      </c>
      <c r="BC187" s="290">
        <f>COUNTIF(BA$4:BA187,BA187)</f>
        <v>2</v>
      </c>
      <c r="BD187" s="290">
        <f>ROW()</f>
        <v>187</v>
      </c>
      <c r="BE187" s="290">
        <f t="shared" si="20"/>
        <v>1</v>
      </c>
    </row>
    <row r="188" spans="53:57" x14ac:dyDescent="0.25">
      <c r="BA188" s="344" t="s">
        <v>222</v>
      </c>
      <c r="BB188" s="289" t="s">
        <v>767</v>
      </c>
      <c r="BC188" s="290">
        <f>COUNTIF(BA$4:BA188,BA188)</f>
        <v>3</v>
      </c>
      <c r="BD188" s="290">
        <f>ROW()</f>
        <v>188</v>
      </c>
      <c r="BE188" s="290">
        <f t="shared" si="20"/>
        <v>1</v>
      </c>
    </row>
    <row r="189" spans="53:57" x14ac:dyDescent="0.25">
      <c r="BA189" s="344" t="s">
        <v>222</v>
      </c>
      <c r="BB189" s="289" t="s">
        <v>224</v>
      </c>
      <c r="BC189" s="290">
        <f>COUNTIF(BA$4:BA189,BA189)</f>
        <v>4</v>
      </c>
      <c r="BD189" s="290">
        <f>ROW()</f>
        <v>189</v>
      </c>
      <c r="BE189" s="290">
        <f t="shared" si="20"/>
        <v>1</v>
      </c>
    </row>
    <row r="190" spans="53:57" x14ac:dyDescent="0.25">
      <c r="BA190" s="344" t="s">
        <v>222</v>
      </c>
      <c r="BB190" s="289" t="s">
        <v>225</v>
      </c>
      <c r="BC190" s="290">
        <f>COUNTIF(BA$4:BA190,BA190)</f>
        <v>5</v>
      </c>
      <c r="BD190" s="290">
        <f>ROW()</f>
        <v>190</v>
      </c>
      <c r="BE190" s="290">
        <f t="shared" si="20"/>
        <v>1</v>
      </c>
    </row>
    <row r="191" spans="53:57" x14ac:dyDescent="0.25">
      <c r="BA191" s="344" t="s">
        <v>222</v>
      </c>
      <c r="BB191" s="289" t="s">
        <v>226</v>
      </c>
      <c r="BC191" s="290">
        <f>COUNTIF(BA$4:BA191,BA191)</f>
        <v>6</v>
      </c>
      <c r="BD191" s="290">
        <f>ROW()</f>
        <v>191</v>
      </c>
      <c r="BE191" s="290">
        <f t="shared" si="20"/>
        <v>1</v>
      </c>
    </row>
    <row r="192" spans="53:57" x14ac:dyDescent="0.25">
      <c r="BA192" s="344" t="s">
        <v>222</v>
      </c>
      <c r="BB192" s="289" t="s">
        <v>768</v>
      </c>
      <c r="BC192" s="290">
        <f>COUNTIF(BA$4:BA192,BA192)</f>
        <v>7</v>
      </c>
      <c r="BD192" s="290">
        <f>ROW()</f>
        <v>192</v>
      </c>
      <c r="BE192" s="290">
        <f t="shared" si="20"/>
        <v>1</v>
      </c>
    </row>
    <row r="193" spans="53:57" x14ac:dyDescent="0.25">
      <c r="BA193" s="344" t="s">
        <v>614</v>
      </c>
      <c r="BB193" s="289" t="s">
        <v>615</v>
      </c>
      <c r="BC193" s="290">
        <f>COUNTIF(BA$4:BA193,BA193)</f>
        <v>1</v>
      </c>
      <c r="BD193" s="290">
        <f>ROW()</f>
        <v>193</v>
      </c>
      <c r="BE193" s="290">
        <f t="shared" si="20"/>
        <v>1</v>
      </c>
    </row>
    <row r="194" spans="53:57" x14ac:dyDescent="0.25">
      <c r="BA194" s="344" t="s">
        <v>614</v>
      </c>
      <c r="BB194" s="289" t="s">
        <v>616</v>
      </c>
      <c r="BC194" s="290">
        <f>COUNTIF(BA$4:BA194,BA194)</f>
        <v>2</v>
      </c>
      <c r="BD194" s="290">
        <f>ROW()</f>
        <v>194</v>
      </c>
      <c r="BE194" s="290">
        <f t="shared" si="20"/>
        <v>1</v>
      </c>
    </row>
    <row r="195" spans="53:57" x14ac:dyDescent="0.25">
      <c r="BA195" s="344" t="s">
        <v>614</v>
      </c>
      <c r="BB195" s="289" t="s">
        <v>617</v>
      </c>
      <c r="BC195" s="290">
        <f>COUNTIF(BA$4:BA195,BA195)</f>
        <v>3</v>
      </c>
      <c r="BD195" s="290">
        <f>ROW()</f>
        <v>195</v>
      </c>
      <c r="BE195" s="290">
        <f t="shared" si="20"/>
        <v>1</v>
      </c>
    </row>
    <row r="196" spans="53:57" x14ac:dyDescent="0.25">
      <c r="BA196" s="344" t="s">
        <v>614</v>
      </c>
      <c r="BB196" s="289" t="s">
        <v>618</v>
      </c>
      <c r="BC196" s="290">
        <f>COUNTIF(BA$4:BA196,BA196)</f>
        <v>4</v>
      </c>
      <c r="BD196" s="290">
        <f>ROW()</f>
        <v>196</v>
      </c>
      <c r="BE196" s="290">
        <f t="shared" ref="BE196:BE259" si="21">COUNTIF($AQ$3:$AQ$83,BA196)</f>
        <v>1</v>
      </c>
    </row>
    <row r="197" spans="53:57" x14ac:dyDescent="0.25">
      <c r="BA197" s="344" t="s">
        <v>614</v>
      </c>
      <c r="BB197" s="289" t="s">
        <v>619</v>
      </c>
      <c r="BC197" s="290">
        <f>COUNTIF(BA$4:BA197,BA197)</f>
        <v>5</v>
      </c>
      <c r="BD197" s="290">
        <f>ROW()</f>
        <v>197</v>
      </c>
      <c r="BE197" s="290">
        <f t="shared" si="21"/>
        <v>1</v>
      </c>
    </row>
    <row r="198" spans="53:57" x14ac:dyDescent="0.25">
      <c r="BA198" s="344" t="s">
        <v>233</v>
      </c>
      <c r="BB198" s="289" t="s">
        <v>769</v>
      </c>
      <c r="BC198" s="290">
        <f>COUNTIF(BA$4:BA198,BA198)</f>
        <v>1</v>
      </c>
      <c r="BD198" s="290">
        <f>ROW()</f>
        <v>198</v>
      </c>
      <c r="BE198" s="290">
        <f t="shared" si="21"/>
        <v>1</v>
      </c>
    </row>
    <row r="199" spans="53:57" x14ac:dyDescent="0.25">
      <c r="BA199" s="344" t="s">
        <v>233</v>
      </c>
      <c r="BB199" s="289" t="s">
        <v>234</v>
      </c>
      <c r="BC199" s="290">
        <f>COUNTIF(BA$4:BA199,BA199)</f>
        <v>2</v>
      </c>
      <c r="BD199" s="290">
        <f>ROW()</f>
        <v>199</v>
      </c>
      <c r="BE199" s="290">
        <f t="shared" si="21"/>
        <v>1</v>
      </c>
    </row>
    <row r="200" spans="53:57" x14ac:dyDescent="0.25">
      <c r="BA200" s="344" t="s">
        <v>235</v>
      </c>
      <c r="BB200" s="289" t="s">
        <v>236</v>
      </c>
      <c r="BC200" s="290">
        <f>COUNTIF(BA$4:BA200,BA200)</f>
        <v>1</v>
      </c>
      <c r="BD200" s="290">
        <f>ROW()</f>
        <v>200</v>
      </c>
      <c r="BE200" s="290">
        <f t="shared" si="21"/>
        <v>1</v>
      </c>
    </row>
    <row r="201" spans="53:57" x14ac:dyDescent="0.25">
      <c r="BA201" s="344" t="s">
        <v>235</v>
      </c>
      <c r="BB201" s="289" t="s">
        <v>237</v>
      </c>
      <c r="BC201" s="290">
        <f>COUNTIF(BA$4:BA201,BA201)</f>
        <v>2</v>
      </c>
      <c r="BD201" s="290">
        <f>ROW()</f>
        <v>201</v>
      </c>
      <c r="BE201" s="290">
        <f t="shared" si="21"/>
        <v>1</v>
      </c>
    </row>
    <row r="202" spans="53:57" x14ac:dyDescent="0.25">
      <c r="BA202" s="344" t="s">
        <v>235</v>
      </c>
      <c r="BB202" s="289" t="s">
        <v>238</v>
      </c>
      <c r="BC202" s="290">
        <f>COUNTIF(BA$4:BA202,BA202)</f>
        <v>3</v>
      </c>
      <c r="BD202" s="290">
        <f>ROW()</f>
        <v>202</v>
      </c>
      <c r="BE202" s="290">
        <f t="shared" si="21"/>
        <v>1</v>
      </c>
    </row>
    <row r="203" spans="53:57" x14ac:dyDescent="0.25">
      <c r="BA203" s="344" t="s">
        <v>235</v>
      </c>
      <c r="BB203" s="289" t="s">
        <v>239</v>
      </c>
      <c r="BC203" s="290">
        <f>COUNTIF(BA$4:BA203,BA203)</f>
        <v>4</v>
      </c>
      <c r="BD203" s="290">
        <f>ROW()</f>
        <v>203</v>
      </c>
      <c r="BE203" s="290">
        <f t="shared" si="21"/>
        <v>1</v>
      </c>
    </row>
    <row r="204" spans="53:57" x14ac:dyDescent="0.25">
      <c r="BA204" s="344" t="s">
        <v>235</v>
      </c>
      <c r="BB204" s="289" t="s">
        <v>240</v>
      </c>
      <c r="BC204" s="290">
        <f>COUNTIF(BA$4:BA204,BA204)</f>
        <v>5</v>
      </c>
      <c r="BD204" s="290">
        <f>ROW()</f>
        <v>204</v>
      </c>
      <c r="BE204" s="290">
        <f t="shared" si="21"/>
        <v>1</v>
      </c>
    </row>
    <row r="205" spans="53:57" x14ac:dyDescent="0.25">
      <c r="BA205" s="344" t="s">
        <v>235</v>
      </c>
      <c r="BB205" s="289" t="s">
        <v>241</v>
      </c>
      <c r="BC205" s="290">
        <f>COUNTIF(BA$4:BA205,BA205)</f>
        <v>6</v>
      </c>
      <c r="BD205" s="290">
        <f>ROW()</f>
        <v>205</v>
      </c>
      <c r="BE205" s="290">
        <f t="shared" si="21"/>
        <v>1</v>
      </c>
    </row>
    <row r="206" spans="53:57" x14ac:dyDescent="0.25">
      <c r="BA206" s="344" t="s">
        <v>192</v>
      </c>
      <c r="BB206" s="289" t="s">
        <v>770</v>
      </c>
      <c r="BC206" s="290">
        <f>COUNTIF(BA$4:BA206,BA206)</f>
        <v>1</v>
      </c>
      <c r="BD206" s="290">
        <f>ROW()</f>
        <v>206</v>
      </c>
      <c r="BE206" s="290">
        <f t="shared" si="21"/>
        <v>1</v>
      </c>
    </row>
    <row r="207" spans="53:57" x14ac:dyDescent="0.25">
      <c r="BA207" s="344" t="s">
        <v>192</v>
      </c>
      <c r="BB207" s="289" t="s">
        <v>193</v>
      </c>
      <c r="BC207" s="290">
        <f>COUNTIF(BA$4:BA207,BA207)</f>
        <v>2</v>
      </c>
      <c r="BD207" s="290">
        <f>ROW()</f>
        <v>207</v>
      </c>
      <c r="BE207" s="290">
        <f t="shared" si="21"/>
        <v>1</v>
      </c>
    </row>
    <row r="208" spans="53:57" x14ac:dyDescent="0.25">
      <c r="BA208" s="344" t="s">
        <v>192</v>
      </c>
      <c r="BB208" s="289" t="s">
        <v>771</v>
      </c>
      <c r="BC208" s="290">
        <f>COUNTIF(BA$4:BA208,BA208)</f>
        <v>3</v>
      </c>
      <c r="BD208" s="290">
        <f>ROW()</f>
        <v>208</v>
      </c>
      <c r="BE208" s="290">
        <f t="shared" si="21"/>
        <v>1</v>
      </c>
    </row>
    <row r="209" spans="53:57" x14ac:dyDescent="0.25">
      <c r="BA209" s="344" t="s">
        <v>194</v>
      </c>
      <c r="BB209" s="289" t="s">
        <v>772</v>
      </c>
      <c r="BC209" s="290">
        <f>COUNTIF(BA$4:BA209,BA209)</f>
        <v>1</v>
      </c>
      <c r="BD209" s="290">
        <f>ROW()</f>
        <v>209</v>
      </c>
      <c r="BE209" s="290">
        <f t="shared" si="21"/>
        <v>1</v>
      </c>
    </row>
    <row r="210" spans="53:57" x14ac:dyDescent="0.25">
      <c r="BA210" s="344" t="s">
        <v>194</v>
      </c>
      <c r="BB210" s="289" t="s">
        <v>773</v>
      </c>
      <c r="BC210" s="290">
        <f>COUNTIF(BA$4:BA210,BA210)</f>
        <v>2</v>
      </c>
      <c r="BD210" s="290">
        <f>ROW()</f>
        <v>210</v>
      </c>
      <c r="BE210" s="290">
        <f t="shared" si="21"/>
        <v>1</v>
      </c>
    </row>
    <row r="211" spans="53:57" x14ac:dyDescent="0.25">
      <c r="BA211" s="344" t="s">
        <v>194</v>
      </c>
      <c r="BB211" s="289" t="s">
        <v>774</v>
      </c>
      <c r="BC211" s="290">
        <f>COUNTIF(BA$4:BA211,BA211)</f>
        <v>3</v>
      </c>
      <c r="BD211" s="290">
        <f>ROW()</f>
        <v>211</v>
      </c>
      <c r="BE211" s="290">
        <f t="shared" si="21"/>
        <v>1</v>
      </c>
    </row>
    <row r="212" spans="53:57" x14ac:dyDescent="0.25">
      <c r="BA212" s="344" t="s">
        <v>194</v>
      </c>
      <c r="BB212" s="289" t="s">
        <v>195</v>
      </c>
      <c r="BC212" s="290">
        <f>COUNTIF(BA$4:BA212,BA212)</f>
        <v>4</v>
      </c>
      <c r="BD212" s="290">
        <f>ROW()</f>
        <v>212</v>
      </c>
      <c r="BE212" s="290">
        <f t="shared" si="21"/>
        <v>1</v>
      </c>
    </row>
    <row r="213" spans="53:57" x14ac:dyDescent="0.25">
      <c r="BA213" s="344" t="s">
        <v>210</v>
      </c>
      <c r="BB213" s="289" t="s">
        <v>211</v>
      </c>
      <c r="BC213" s="290">
        <f>COUNTIF(BA$4:BA213,BA213)</f>
        <v>1</v>
      </c>
      <c r="BD213" s="290">
        <f>ROW()</f>
        <v>213</v>
      </c>
      <c r="BE213" s="290">
        <f t="shared" si="21"/>
        <v>1</v>
      </c>
    </row>
    <row r="214" spans="53:57" x14ac:dyDescent="0.25">
      <c r="BA214" s="344" t="s">
        <v>210</v>
      </c>
      <c r="BB214" s="289" t="s">
        <v>212</v>
      </c>
      <c r="BC214" s="290">
        <f>COUNTIF(BA$4:BA214,BA214)</f>
        <v>2</v>
      </c>
      <c r="BD214" s="290">
        <f>ROW()</f>
        <v>214</v>
      </c>
      <c r="BE214" s="290">
        <f t="shared" si="21"/>
        <v>1</v>
      </c>
    </row>
    <row r="215" spans="53:57" x14ac:dyDescent="0.25">
      <c r="BA215" s="344" t="s">
        <v>210</v>
      </c>
      <c r="BB215" s="289" t="s">
        <v>213</v>
      </c>
      <c r="BC215" s="290">
        <f>COUNTIF(BA$4:BA215,BA215)</f>
        <v>3</v>
      </c>
      <c r="BD215" s="290">
        <f>ROW()</f>
        <v>215</v>
      </c>
      <c r="BE215" s="290">
        <f t="shared" si="21"/>
        <v>1</v>
      </c>
    </row>
    <row r="216" spans="53:57" x14ac:dyDescent="0.25">
      <c r="BA216" s="344" t="s">
        <v>196</v>
      </c>
      <c r="BB216" s="289" t="s">
        <v>775</v>
      </c>
      <c r="BC216" s="290">
        <f>COUNTIF(BA$4:BA216,BA216)</f>
        <v>1</v>
      </c>
      <c r="BD216" s="290">
        <f>ROW()</f>
        <v>216</v>
      </c>
      <c r="BE216" s="290">
        <f t="shared" si="21"/>
        <v>1</v>
      </c>
    </row>
    <row r="217" spans="53:57" x14ac:dyDescent="0.25">
      <c r="BA217" s="344" t="s">
        <v>196</v>
      </c>
      <c r="BB217" s="289" t="s">
        <v>776</v>
      </c>
      <c r="BC217" s="290">
        <f>COUNTIF(BA$4:BA217,BA217)</f>
        <v>2</v>
      </c>
      <c r="BD217" s="290">
        <f>ROW()</f>
        <v>217</v>
      </c>
      <c r="BE217" s="290">
        <f t="shared" si="21"/>
        <v>1</v>
      </c>
    </row>
    <row r="218" spans="53:57" x14ac:dyDescent="0.25">
      <c r="BA218" s="344" t="s">
        <v>196</v>
      </c>
      <c r="BB218" s="289" t="s">
        <v>197</v>
      </c>
      <c r="BC218" s="290">
        <f>COUNTIF(BA$4:BA218,BA218)</f>
        <v>3</v>
      </c>
      <c r="BD218" s="290">
        <f>ROW()</f>
        <v>218</v>
      </c>
      <c r="BE218" s="290">
        <f t="shared" si="21"/>
        <v>1</v>
      </c>
    </row>
    <row r="219" spans="53:57" x14ac:dyDescent="0.25">
      <c r="BA219" s="344" t="s">
        <v>196</v>
      </c>
      <c r="BB219" s="289" t="s">
        <v>199</v>
      </c>
      <c r="BC219" s="290">
        <f>COUNTIF(BA$4:BA219,BA219)</f>
        <v>4</v>
      </c>
      <c r="BD219" s="290">
        <f>ROW()</f>
        <v>219</v>
      </c>
      <c r="BE219" s="290">
        <f t="shared" si="21"/>
        <v>1</v>
      </c>
    </row>
    <row r="220" spans="53:57" x14ac:dyDescent="0.25">
      <c r="BA220" s="344" t="s">
        <v>196</v>
      </c>
      <c r="BB220" s="289" t="s">
        <v>198</v>
      </c>
      <c r="BC220" s="290">
        <f>COUNTIF(BA$4:BA220,BA220)</f>
        <v>5</v>
      </c>
      <c r="BD220" s="290">
        <f>ROW()</f>
        <v>220</v>
      </c>
      <c r="BE220" s="290">
        <f t="shared" si="21"/>
        <v>1</v>
      </c>
    </row>
    <row r="221" spans="53:57" x14ac:dyDescent="0.25">
      <c r="BA221" s="344" t="s">
        <v>200</v>
      </c>
      <c r="BB221" s="289" t="s">
        <v>201</v>
      </c>
      <c r="BC221" s="290">
        <f>COUNTIF(BA$4:BA221,BA221)</f>
        <v>1</v>
      </c>
      <c r="BD221" s="290">
        <f>ROW()</f>
        <v>221</v>
      </c>
      <c r="BE221" s="290">
        <f t="shared" si="21"/>
        <v>1</v>
      </c>
    </row>
    <row r="222" spans="53:57" x14ac:dyDescent="0.25">
      <c r="BA222" s="344" t="s">
        <v>200</v>
      </c>
      <c r="BB222" s="289" t="s">
        <v>777</v>
      </c>
      <c r="BC222" s="290">
        <f>COUNTIF(BA$4:BA222,BA222)</f>
        <v>2</v>
      </c>
      <c r="BD222" s="290">
        <f>ROW()</f>
        <v>222</v>
      </c>
      <c r="BE222" s="290">
        <f t="shared" si="21"/>
        <v>1</v>
      </c>
    </row>
    <row r="223" spans="53:57" x14ac:dyDescent="0.25">
      <c r="BA223" s="344" t="s">
        <v>200</v>
      </c>
      <c r="BB223" s="289" t="s">
        <v>202</v>
      </c>
      <c r="BC223" s="290">
        <f>COUNTIF(BA$4:BA223,BA223)</f>
        <v>3</v>
      </c>
      <c r="BD223" s="290">
        <f>ROW()</f>
        <v>223</v>
      </c>
      <c r="BE223" s="290">
        <f t="shared" si="21"/>
        <v>1</v>
      </c>
    </row>
    <row r="224" spans="53:57" x14ac:dyDescent="0.25">
      <c r="BA224" s="344" t="s">
        <v>200</v>
      </c>
      <c r="BB224" s="289" t="s">
        <v>778</v>
      </c>
      <c r="BC224" s="290">
        <f>COUNTIF(BA$4:BA224,BA224)</f>
        <v>4</v>
      </c>
      <c r="BD224" s="290">
        <f>ROW()</f>
        <v>224</v>
      </c>
      <c r="BE224" s="290">
        <f t="shared" si="21"/>
        <v>1</v>
      </c>
    </row>
    <row r="225" spans="53:57" x14ac:dyDescent="0.25">
      <c r="BA225" s="344" t="s">
        <v>203</v>
      </c>
      <c r="BB225" s="289" t="s">
        <v>204</v>
      </c>
      <c r="BC225" s="290">
        <f>COUNTIF(BA$4:BA225,BA225)</f>
        <v>1</v>
      </c>
      <c r="BD225" s="290">
        <f>ROW()</f>
        <v>225</v>
      </c>
      <c r="BE225" s="290">
        <f t="shared" si="21"/>
        <v>1</v>
      </c>
    </row>
    <row r="226" spans="53:57" x14ac:dyDescent="0.25">
      <c r="BA226" s="344" t="s">
        <v>203</v>
      </c>
      <c r="BB226" s="289" t="s">
        <v>779</v>
      </c>
      <c r="BC226" s="290">
        <f>COUNTIF(BA$4:BA226,BA226)</f>
        <v>2</v>
      </c>
      <c r="BD226" s="290">
        <f>ROW()</f>
        <v>226</v>
      </c>
      <c r="BE226" s="290">
        <f t="shared" si="21"/>
        <v>1</v>
      </c>
    </row>
    <row r="227" spans="53:57" x14ac:dyDescent="0.25">
      <c r="BA227" s="344" t="s">
        <v>203</v>
      </c>
      <c r="BB227" s="289" t="s">
        <v>780</v>
      </c>
      <c r="BC227" s="290">
        <f>COUNTIF(BA$4:BA227,BA227)</f>
        <v>3</v>
      </c>
      <c r="BD227" s="290">
        <f>ROW()</f>
        <v>227</v>
      </c>
      <c r="BE227" s="290">
        <f t="shared" si="21"/>
        <v>1</v>
      </c>
    </row>
    <row r="228" spans="53:57" x14ac:dyDescent="0.25">
      <c r="BA228" s="344" t="s">
        <v>203</v>
      </c>
      <c r="BB228" s="289" t="s">
        <v>781</v>
      </c>
      <c r="BC228" s="290">
        <f>COUNTIF(BA$4:BA228,BA228)</f>
        <v>4</v>
      </c>
      <c r="BD228" s="290">
        <f>ROW()</f>
        <v>228</v>
      </c>
      <c r="BE228" s="290">
        <f t="shared" si="21"/>
        <v>1</v>
      </c>
    </row>
    <row r="229" spans="53:57" x14ac:dyDescent="0.25">
      <c r="BA229" s="344" t="s">
        <v>203</v>
      </c>
      <c r="BB229" s="289" t="s">
        <v>782</v>
      </c>
      <c r="BC229" s="290">
        <f>COUNTIF(BA$4:BA229,BA229)</f>
        <v>5</v>
      </c>
      <c r="BD229" s="290">
        <f>ROW()</f>
        <v>229</v>
      </c>
      <c r="BE229" s="290">
        <f t="shared" si="21"/>
        <v>1</v>
      </c>
    </row>
    <row r="230" spans="53:57" x14ac:dyDescent="0.25">
      <c r="BA230" s="344" t="s">
        <v>203</v>
      </c>
      <c r="BB230" s="289" t="s">
        <v>783</v>
      </c>
      <c r="BC230" s="290">
        <f>COUNTIF(BA$4:BA230,BA230)</f>
        <v>6</v>
      </c>
      <c r="BD230" s="290">
        <f>ROW()</f>
        <v>230</v>
      </c>
      <c r="BE230" s="290">
        <f t="shared" si="21"/>
        <v>1</v>
      </c>
    </row>
    <row r="231" spans="53:57" x14ac:dyDescent="0.25">
      <c r="BA231" s="344" t="s">
        <v>205</v>
      </c>
      <c r="BB231" s="289" t="s">
        <v>784</v>
      </c>
      <c r="BC231" s="290">
        <f>COUNTIF(BA$4:BA231,BA231)</f>
        <v>1</v>
      </c>
      <c r="BD231" s="290">
        <f>ROW()</f>
        <v>231</v>
      </c>
      <c r="BE231" s="290">
        <f t="shared" si="21"/>
        <v>1</v>
      </c>
    </row>
    <row r="232" spans="53:57" x14ac:dyDescent="0.25">
      <c r="BA232" s="344" t="s">
        <v>205</v>
      </c>
      <c r="BB232" s="289" t="s">
        <v>785</v>
      </c>
      <c r="BC232" s="290">
        <f>COUNTIF(BA$4:BA232,BA232)</f>
        <v>2</v>
      </c>
      <c r="BD232" s="290">
        <f>ROW()</f>
        <v>232</v>
      </c>
      <c r="BE232" s="290">
        <f t="shared" si="21"/>
        <v>1</v>
      </c>
    </row>
    <row r="233" spans="53:57" x14ac:dyDescent="0.25">
      <c r="BA233" s="344" t="s">
        <v>205</v>
      </c>
      <c r="BB233" s="289" t="s">
        <v>786</v>
      </c>
      <c r="BC233" s="290">
        <f>COUNTIF(BA$4:BA233,BA233)</f>
        <v>3</v>
      </c>
      <c r="BD233" s="290">
        <f>ROW()</f>
        <v>233</v>
      </c>
      <c r="BE233" s="290">
        <f t="shared" si="21"/>
        <v>1</v>
      </c>
    </row>
    <row r="234" spans="53:57" x14ac:dyDescent="0.25">
      <c r="BA234" s="344" t="s">
        <v>205</v>
      </c>
      <c r="BB234" s="289" t="s">
        <v>787</v>
      </c>
      <c r="BC234" s="290">
        <f>COUNTIF(BA$4:BA234,BA234)</f>
        <v>4</v>
      </c>
      <c r="BD234" s="290">
        <f>ROW()</f>
        <v>234</v>
      </c>
      <c r="BE234" s="290">
        <f t="shared" si="21"/>
        <v>1</v>
      </c>
    </row>
    <row r="235" spans="53:57" x14ac:dyDescent="0.25">
      <c r="BA235" s="344" t="s">
        <v>205</v>
      </c>
      <c r="BB235" s="289" t="s">
        <v>1073</v>
      </c>
      <c r="BC235" s="290">
        <f>COUNTIF(BA$4:BA235,BA235)</f>
        <v>5</v>
      </c>
      <c r="BD235" s="290">
        <f>ROW()</f>
        <v>235</v>
      </c>
      <c r="BE235" s="290">
        <f t="shared" si="21"/>
        <v>1</v>
      </c>
    </row>
    <row r="236" spans="53:57" x14ac:dyDescent="0.25">
      <c r="BA236" s="344" t="s">
        <v>205</v>
      </c>
      <c r="BB236" s="289" t="s">
        <v>788</v>
      </c>
      <c r="BC236" s="290">
        <f>COUNTIF(BA$4:BA236,BA236)</f>
        <v>6</v>
      </c>
      <c r="BD236" s="290">
        <f>ROW()</f>
        <v>236</v>
      </c>
      <c r="BE236" s="290">
        <f t="shared" si="21"/>
        <v>1</v>
      </c>
    </row>
    <row r="237" spans="53:57" x14ac:dyDescent="0.25">
      <c r="BA237" s="344" t="s">
        <v>205</v>
      </c>
      <c r="BB237" s="289" t="s">
        <v>789</v>
      </c>
      <c r="BC237" s="290">
        <f>COUNTIF(BA$4:BA237,BA237)</f>
        <v>7</v>
      </c>
      <c r="BD237" s="290">
        <f>ROW()</f>
        <v>237</v>
      </c>
      <c r="BE237" s="290">
        <f t="shared" si="21"/>
        <v>1</v>
      </c>
    </row>
    <row r="238" spans="53:57" x14ac:dyDescent="0.25">
      <c r="BA238" s="344" t="s">
        <v>205</v>
      </c>
      <c r="BB238" s="289" t="s">
        <v>790</v>
      </c>
      <c r="BC238" s="290">
        <f>COUNTIF(BA$4:BA238,BA238)</f>
        <v>8</v>
      </c>
      <c r="BD238" s="290">
        <f>ROW()</f>
        <v>238</v>
      </c>
      <c r="BE238" s="290">
        <f t="shared" si="21"/>
        <v>1</v>
      </c>
    </row>
    <row r="239" spans="53:57" x14ac:dyDescent="0.25">
      <c r="BA239" s="344" t="s">
        <v>205</v>
      </c>
      <c r="BB239" s="289" t="s">
        <v>791</v>
      </c>
      <c r="BC239" s="290">
        <f>COUNTIF(BA$4:BA239,BA239)</f>
        <v>9</v>
      </c>
      <c r="BD239" s="290">
        <f>ROW()</f>
        <v>239</v>
      </c>
      <c r="BE239" s="290">
        <f t="shared" si="21"/>
        <v>1</v>
      </c>
    </row>
    <row r="240" spans="53:57" x14ac:dyDescent="0.25">
      <c r="BA240" s="344" t="s">
        <v>207</v>
      </c>
      <c r="BB240" s="289" t="s">
        <v>792</v>
      </c>
      <c r="BC240" s="290">
        <f>COUNTIF(BA$4:BA240,BA240)</f>
        <v>1</v>
      </c>
      <c r="BD240" s="290">
        <f>ROW()</f>
        <v>240</v>
      </c>
      <c r="BE240" s="290">
        <f t="shared" si="21"/>
        <v>1</v>
      </c>
    </row>
    <row r="241" spans="53:57" x14ac:dyDescent="0.25">
      <c r="BA241" s="344" t="s">
        <v>207</v>
      </c>
      <c r="BB241" s="289" t="s">
        <v>793</v>
      </c>
      <c r="BC241" s="290">
        <f>COUNTIF(BA$4:BA241,BA241)</f>
        <v>2</v>
      </c>
      <c r="BD241" s="290">
        <f>ROW()</f>
        <v>241</v>
      </c>
      <c r="BE241" s="290">
        <f t="shared" si="21"/>
        <v>1</v>
      </c>
    </row>
    <row r="242" spans="53:57" x14ac:dyDescent="0.25">
      <c r="BA242" s="344" t="s">
        <v>207</v>
      </c>
      <c r="BB242" s="289" t="s">
        <v>794</v>
      </c>
      <c r="BC242" s="290">
        <f>COUNTIF(BA$4:BA242,BA242)</f>
        <v>3</v>
      </c>
      <c r="BD242" s="290">
        <f>ROW()</f>
        <v>242</v>
      </c>
      <c r="BE242" s="290">
        <f t="shared" si="21"/>
        <v>1</v>
      </c>
    </row>
    <row r="243" spans="53:57" x14ac:dyDescent="0.25">
      <c r="BA243" s="344" t="s">
        <v>208</v>
      </c>
      <c r="BB243" s="289" t="s">
        <v>20</v>
      </c>
      <c r="BC243" s="290">
        <f>COUNTIF(BA$4:BA243,BA243)</f>
        <v>1</v>
      </c>
      <c r="BD243" s="290">
        <f>ROW()</f>
        <v>243</v>
      </c>
      <c r="BE243" s="290">
        <f t="shared" si="21"/>
        <v>1</v>
      </c>
    </row>
    <row r="244" spans="53:57" x14ac:dyDescent="0.25">
      <c r="BA244" s="344" t="s">
        <v>208</v>
      </c>
      <c r="BB244" s="289" t="s">
        <v>795</v>
      </c>
      <c r="BC244" s="290">
        <f>COUNTIF(BA$4:BA244,BA244)</f>
        <v>2</v>
      </c>
      <c r="BD244" s="290">
        <f>ROW()</f>
        <v>244</v>
      </c>
      <c r="BE244" s="290">
        <f t="shared" si="21"/>
        <v>1</v>
      </c>
    </row>
    <row r="245" spans="53:57" x14ac:dyDescent="0.25">
      <c r="BA245" s="344" t="s">
        <v>208</v>
      </c>
      <c r="BB245" s="289" t="s">
        <v>209</v>
      </c>
      <c r="BC245" s="290">
        <f>COUNTIF(BA$4:BA245,BA245)</f>
        <v>3</v>
      </c>
      <c r="BD245" s="290">
        <f>ROW()</f>
        <v>245</v>
      </c>
      <c r="BE245" s="290">
        <f t="shared" si="21"/>
        <v>1</v>
      </c>
    </row>
    <row r="246" spans="53:57" x14ac:dyDescent="0.25">
      <c r="BA246" s="344" t="s">
        <v>208</v>
      </c>
      <c r="BB246" s="289" t="s">
        <v>796</v>
      </c>
      <c r="BC246" s="290">
        <f>COUNTIF(BA$4:BA246,BA246)</f>
        <v>4</v>
      </c>
      <c r="BD246" s="290">
        <f>ROW()</f>
        <v>246</v>
      </c>
      <c r="BE246" s="290">
        <f t="shared" si="21"/>
        <v>1</v>
      </c>
    </row>
    <row r="247" spans="53:57" x14ac:dyDescent="0.25">
      <c r="BA247" s="344" t="s">
        <v>208</v>
      </c>
      <c r="BB247" s="289" t="s">
        <v>173</v>
      </c>
      <c r="BC247" s="290">
        <f>COUNTIF(BA$4:BA247,BA247)</f>
        <v>5</v>
      </c>
      <c r="BD247" s="290">
        <f>ROW()</f>
        <v>247</v>
      </c>
      <c r="BE247" s="290">
        <f t="shared" si="21"/>
        <v>1</v>
      </c>
    </row>
    <row r="248" spans="53:57" x14ac:dyDescent="0.25">
      <c r="BA248" s="344" t="s">
        <v>232</v>
      </c>
      <c r="BB248" s="289" t="s">
        <v>599</v>
      </c>
      <c r="BC248" s="290">
        <f>COUNTIF(BA$4:BA248,BA248)</f>
        <v>1</v>
      </c>
      <c r="BD248" s="290">
        <f>ROW()</f>
        <v>248</v>
      </c>
      <c r="BE248" s="290">
        <f t="shared" si="21"/>
        <v>1</v>
      </c>
    </row>
    <row r="249" spans="53:57" x14ac:dyDescent="0.25">
      <c r="BA249" s="344" t="s">
        <v>232</v>
      </c>
      <c r="BB249" s="289" t="s">
        <v>602</v>
      </c>
      <c r="BC249" s="290">
        <f>COUNTIF(BA$4:BA249,BA249)</f>
        <v>2</v>
      </c>
      <c r="BD249" s="290">
        <f>ROW()</f>
        <v>249</v>
      </c>
      <c r="BE249" s="290">
        <f t="shared" si="21"/>
        <v>1</v>
      </c>
    </row>
    <row r="250" spans="53:57" x14ac:dyDescent="0.25">
      <c r="BA250" s="344" t="s">
        <v>232</v>
      </c>
      <c r="BB250" s="289" t="s">
        <v>601</v>
      </c>
      <c r="BC250" s="290">
        <f>COUNTIF(BA$4:BA250,BA250)</f>
        <v>3</v>
      </c>
      <c r="BD250" s="290">
        <f>ROW()</f>
        <v>250</v>
      </c>
      <c r="BE250" s="290">
        <f t="shared" si="21"/>
        <v>1</v>
      </c>
    </row>
    <row r="251" spans="53:57" x14ac:dyDescent="0.25">
      <c r="BA251" s="344" t="s">
        <v>232</v>
      </c>
      <c r="BB251" s="289" t="s">
        <v>598</v>
      </c>
      <c r="BC251" s="290">
        <f>COUNTIF(BA$4:BA251,BA251)</f>
        <v>4</v>
      </c>
      <c r="BD251" s="290">
        <f>ROW()</f>
        <v>251</v>
      </c>
      <c r="BE251" s="290">
        <f t="shared" si="21"/>
        <v>1</v>
      </c>
    </row>
    <row r="252" spans="53:57" x14ac:dyDescent="0.25">
      <c r="BA252" s="344" t="s">
        <v>232</v>
      </c>
      <c r="BB252" s="289" t="s">
        <v>600</v>
      </c>
      <c r="BC252" s="290">
        <f>COUNTIF(BA$4:BA252,BA252)</f>
        <v>5</v>
      </c>
      <c r="BD252" s="290">
        <f>ROW()</f>
        <v>252</v>
      </c>
      <c r="BE252" s="290">
        <f t="shared" si="21"/>
        <v>1</v>
      </c>
    </row>
    <row r="253" spans="53:57" x14ac:dyDescent="0.25">
      <c r="BA253" s="344" t="s">
        <v>624</v>
      </c>
      <c r="BB253" s="289" t="s">
        <v>1074</v>
      </c>
      <c r="BC253" s="290">
        <f>COUNTIF(BA$4:BA253,BA253)</f>
        <v>1</v>
      </c>
      <c r="BD253" s="290">
        <f>ROW()</f>
        <v>253</v>
      </c>
      <c r="BE253" s="290">
        <f t="shared" si="21"/>
        <v>1</v>
      </c>
    </row>
    <row r="254" spans="53:57" x14ac:dyDescent="0.25">
      <c r="BA254" s="344" t="s">
        <v>624</v>
      </c>
      <c r="BB254" s="289" t="s">
        <v>1075</v>
      </c>
      <c r="BC254" s="290">
        <f>COUNTIF(BA$4:BA254,BA254)</f>
        <v>2</v>
      </c>
      <c r="BD254" s="290">
        <f>ROW()</f>
        <v>254</v>
      </c>
      <c r="BE254" s="290">
        <f t="shared" si="21"/>
        <v>1</v>
      </c>
    </row>
    <row r="255" spans="53:57" x14ac:dyDescent="0.25">
      <c r="BA255" s="344" t="s">
        <v>624</v>
      </c>
      <c r="BB255" s="289" t="s">
        <v>1076</v>
      </c>
      <c r="BC255" s="290">
        <f>COUNTIF(BA$4:BA255,BA255)</f>
        <v>3</v>
      </c>
      <c r="BD255" s="290">
        <f>ROW()</f>
        <v>255</v>
      </c>
      <c r="BE255" s="290">
        <f t="shared" si="21"/>
        <v>1</v>
      </c>
    </row>
    <row r="256" spans="53:57" x14ac:dyDescent="0.25">
      <c r="BA256" s="344" t="s">
        <v>595</v>
      </c>
      <c r="BB256" s="289" t="s">
        <v>797</v>
      </c>
      <c r="BC256" s="290">
        <f>COUNTIF(BA$4:BA256,BA256)</f>
        <v>1</v>
      </c>
      <c r="BD256" s="290">
        <f>ROW()</f>
        <v>256</v>
      </c>
      <c r="BE256" s="290">
        <f t="shared" si="21"/>
        <v>1</v>
      </c>
    </row>
    <row r="257" spans="53:57" x14ac:dyDescent="0.25">
      <c r="BA257" s="344" t="s">
        <v>595</v>
      </c>
      <c r="BB257" s="289" t="s">
        <v>569</v>
      </c>
      <c r="BC257" s="290">
        <f>COUNTIF(BA$4:BA257,BA257)</f>
        <v>2</v>
      </c>
      <c r="BD257" s="290">
        <f>ROW()</f>
        <v>257</v>
      </c>
      <c r="BE257" s="290">
        <f t="shared" si="21"/>
        <v>1</v>
      </c>
    </row>
    <row r="258" spans="53:57" x14ac:dyDescent="0.25">
      <c r="BA258" s="344" t="s">
        <v>595</v>
      </c>
      <c r="BB258" s="289" t="s">
        <v>798</v>
      </c>
      <c r="BC258" s="290">
        <f>COUNTIF(BA$4:BA258,BA258)</f>
        <v>3</v>
      </c>
      <c r="BD258" s="290">
        <f>ROW()</f>
        <v>258</v>
      </c>
      <c r="BE258" s="290">
        <f t="shared" si="21"/>
        <v>1</v>
      </c>
    </row>
    <row r="259" spans="53:57" x14ac:dyDescent="0.25">
      <c r="BA259" s="344" t="s">
        <v>140</v>
      </c>
      <c r="BB259" s="289" t="s">
        <v>1077</v>
      </c>
      <c r="BC259" s="290">
        <f>COUNTIF(BA$4:BA259,BA259)</f>
        <v>1</v>
      </c>
      <c r="BD259" s="290">
        <f>ROW()</f>
        <v>259</v>
      </c>
      <c r="BE259" s="290">
        <f t="shared" si="21"/>
        <v>1</v>
      </c>
    </row>
    <row r="260" spans="53:57" x14ac:dyDescent="0.25">
      <c r="BA260" s="344" t="s">
        <v>612</v>
      </c>
      <c r="BB260" s="289" t="s">
        <v>216</v>
      </c>
      <c r="BC260" s="290">
        <f>COUNTIF(BA$4:BA260,BA260)</f>
        <v>1</v>
      </c>
      <c r="BD260" s="290">
        <f>ROW()</f>
        <v>260</v>
      </c>
      <c r="BE260" s="290">
        <f t="shared" ref="BE260:BE308" si="22">COUNTIF($AQ$3:$AQ$83,BA260)</f>
        <v>1</v>
      </c>
    </row>
    <row r="261" spans="53:57" x14ac:dyDescent="0.25">
      <c r="BA261" s="344" t="s">
        <v>612</v>
      </c>
      <c r="BB261" s="289" t="s">
        <v>217</v>
      </c>
      <c r="BC261" s="290">
        <f>COUNTIF(BA$4:BA261,BA261)</f>
        <v>2</v>
      </c>
      <c r="BD261" s="290">
        <f>ROW()</f>
        <v>261</v>
      </c>
      <c r="BE261" s="290">
        <f t="shared" si="22"/>
        <v>1</v>
      </c>
    </row>
    <row r="262" spans="53:57" x14ac:dyDescent="0.25">
      <c r="BA262" s="344" t="s">
        <v>612</v>
      </c>
      <c r="BB262" s="289" t="s">
        <v>613</v>
      </c>
      <c r="BC262" s="290">
        <f>COUNTIF(BA$4:BA262,BA262)</f>
        <v>3</v>
      </c>
      <c r="BD262" s="290">
        <f>ROW()</f>
        <v>262</v>
      </c>
      <c r="BE262" s="290">
        <f t="shared" si="22"/>
        <v>1</v>
      </c>
    </row>
    <row r="263" spans="53:57" x14ac:dyDescent="0.25">
      <c r="BA263" s="344" t="s">
        <v>612</v>
      </c>
      <c r="BB263" s="289" t="s">
        <v>218</v>
      </c>
      <c r="BC263" s="290">
        <f>COUNTIF(BA$4:BA263,BA263)</f>
        <v>4</v>
      </c>
      <c r="BD263" s="290">
        <f>ROW()</f>
        <v>263</v>
      </c>
      <c r="BE263" s="290">
        <f t="shared" si="22"/>
        <v>1</v>
      </c>
    </row>
    <row r="264" spans="53:57" x14ac:dyDescent="0.25">
      <c r="BA264" s="344" t="s">
        <v>594</v>
      </c>
      <c r="BB264" s="289" t="s">
        <v>1078</v>
      </c>
      <c r="BC264" s="290">
        <f>COUNTIF(BA$4:BA264,BA264)</f>
        <v>1</v>
      </c>
      <c r="BD264" s="290">
        <f>ROW()</f>
        <v>264</v>
      </c>
      <c r="BE264" s="290">
        <f t="shared" si="22"/>
        <v>1</v>
      </c>
    </row>
    <row r="265" spans="53:57" x14ac:dyDescent="0.25">
      <c r="BA265" s="344" t="s">
        <v>594</v>
      </c>
      <c r="BB265" s="289" t="s">
        <v>1079</v>
      </c>
      <c r="BC265" s="290">
        <f>COUNTIF(BA$4:BA265,BA265)</f>
        <v>2</v>
      </c>
      <c r="BD265" s="290">
        <f>ROW()</f>
        <v>265</v>
      </c>
      <c r="BE265" s="290">
        <f t="shared" si="22"/>
        <v>1</v>
      </c>
    </row>
    <row r="266" spans="53:57" x14ac:dyDescent="0.25">
      <c r="BA266" s="344" t="s">
        <v>589</v>
      </c>
      <c r="BB266" s="289" t="s">
        <v>799</v>
      </c>
      <c r="BC266" s="290">
        <f>COUNTIF(BA$4:BA266,BA266)</f>
        <v>1</v>
      </c>
      <c r="BD266" s="290">
        <f>ROW()</f>
        <v>266</v>
      </c>
      <c r="BE266" s="290">
        <f t="shared" si="22"/>
        <v>1</v>
      </c>
    </row>
    <row r="267" spans="53:57" x14ac:dyDescent="0.25">
      <c r="BA267" s="344" t="s">
        <v>589</v>
      </c>
      <c r="BB267" s="289" t="s">
        <v>800</v>
      </c>
      <c r="BC267" s="290">
        <f>COUNTIF(BA$4:BA267,BA267)</f>
        <v>2</v>
      </c>
      <c r="BD267" s="290">
        <f>ROW()</f>
        <v>267</v>
      </c>
      <c r="BE267" s="290">
        <f t="shared" si="22"/>
        <v>1</v>
      </c>
    </row>
    <row r="268" spans="53:57" x14ac:dyDescent="0.25">
      <c r="BA268" s="344" t="s">
        <v>589</v>
      </c>
      <c r="BB268" s="289" t="s">
        <v>1080</v>
      </c>
      <c r="BC268" s="290">
        <f>COUNTIF(BA$4:BA268,BA268)</f>
        <v>3</v>
      </c>
      <c r="BD268" s="290">
        <f>ROW()</f>
        <v>268</v>
      </c>
      <c r="BE268" s="290">
        <f t="shared" si="22"/>
        <v>1</v>
      </c>
    </row>
    <row r="269" spans="53:57" x14ac:dyDescent="0.25">
      <c r="BA269" s="344" t="s">
        <v>589</v>
      </c>
      <c r="BB269" s="289" t="s">
        <v>1081</v>
      </c>
      <c r="BC269" s="290">
        <f>COUNTIF(BA$4:BA269,BA269)</f>
        <v>4</v>
      </c>
      <c r="BD269" s="290">
        <f>ROW()</f>
        <v>269</v>
      </c>
      <c r="BE269" s="290">
        <f t="shared" si="22"/>
        <v>1</v>
      </c>
    </row>
    <row r="270" spans="53:57" x14ac:dyDescent="0.25">
      <c r="BA270" s="344" t="s">
        <v>590</v>
      </c>
      <c r="BB270" s="289" t="s">
        <v>801</v>
      </c>
      <c r="BC270" s="290">
        <f>COUNTIF(BA$4:BA270,BA270)</f>
        <v>1</v>
      </c>
      <c r="BD270" s="290">
        <f>ROW()</f>
        <v>270</v>
      </c>
      <c r="BE270" s="290">
        <f t="shared" si="22"/>
        <v>1</v>
      </c>
    </row>
    <row r="271" spans="53:57" x14ac:dyDescent="0.25">
      <c r="BA271" s="344" t="s">
        <v>590</v>
      </c>
      <c r="BB271" s="289" t="s">
        <v>802</v>
      </c>
      <c r="BC271" s="290">
        <f>COUNTIF(BA$4:BA271,BA271)</f>
        <v>2</v>
      </c>
      <c r="BD271" s="290">
        <f>ROW()</f>
        <v>271</v>
      </c>
      <c r="BE271" s="290">
        <f t="shared" si="22"/>
        <v>1</v>
      </c>
    </row>
    <row r="272" spans="53:57" x14ac:dyDescent="0.25">
      <c r="BA272" s="344" t="s">
        <v>590</v>
      </c>
      <c r="BB272" s="289" t="s">
        <v>803</v>
      </c>
      <c r="BC272" s="290">
        <f>COUNTIF(BA$4:BA272,BA272)</f>
        <v>3</v>
      </c>
      <c r="BD272" s="290">
        <f>ROW()</f>
        <v>272</v>
      </c>
      <c r="BE272" s="290">
        <f t="shared" si="22"/>
        <v>1</v>
      </c>
    </row>
    <row r="273" spans="53:57" x14ac:dyDescent="0.25">
      <c r="BA273" s="345" t="s">
        <v>591</v>
      </c>
      <c r="BB273" s="289" t="s">
        <v>1082</v>
      </c>
      <c r="BC273" s="290">
        <f>COUNTIF(BA$4:BA273,BA273)</f>
        <v>1</v>
      </c>
      <c r="BD273" s="290">
        <f>ROW()</f>
        <v>273</v>
      </c>
      <c r="BE273" s="290">
        <f t="shared" si="22"/>
        <v>1</v>
      </c>
    </row>
    <row r="274" spans="53:57" x14ac:dyDescent="0.25">
      <c r="BA274" s="345" t="s">
        <v>591</v>
      </c>
      <c r="BB274" s="289" t="s">
        <v>1083</v>
      </c>
      <c r="BC274" s="290">
        <f>COUNTIF(BA$4:BA274,BA274)</f>
        <v>2</v>
      </c>
      <c r="BD274" s="290">
        <f>ROW()</f>
        <v>274</v>
      </c>
      <c r="BE274" s="290">
        <f t="shared" si="22"/>
        <v>1</v>
      </c>
    </row>
    <row r="275" spans="53:57" x14ac:dyDescent="0.25">
      <c r="BA275" s="345" t="s">
        <v>591</v>
      </c>
      <c r="BB275" s="289" t="s">
        <v>1084</v>
      </c>
      <c r="BC275" s="290">
        <f>COUNTIF(BA$4:BA275,BA275)</f>
        <v>3</v>
      </c>
      <c r="BD275" s="290">
        <f>ROW()</f>
        <v>275</v>
      </c>
      <c r="BE275" s="290">
        <f t="shared" si="22"/>
        <v>1</v>
      </c>
    </row>
    <row r="276" spans="53:57" x14ac:dyDescent="0.25">
      <c r="BA276" s="345" t="s">
        <v>591</v>
      </c>
      <c r="BB276" s="289" t="s">
        <v>1085</v>
      </c>
      <c r="BC276" s="290">
        <f>COUNTIF(BA$4:BA276,BA276)</f>
        <v>4</v>
      </c>
      <c r="BD276" s="290">
        <f>ROW()</f>
        <v>276</v>
      </c>
      <c r="BE276" s="290">
        <f t="shared" si="22"/>
        <v>1</v>
      </c>
    </row>
    <row r="277" spans="53:57" x14ac:dyDescent="0.25">
      <c r="BA277" s="345" t="s">
        <v>591</v>
      </c>
      <c r="BB277" s="289" t="s">
        <v>1086</v>
      </c>
      <c r="BC277" s="290">
        <f>COUNTIF(BA$4:BA277,BA277)</f>
        <v>5</v>
      </c>
      <c r="BD277" s="290">
        <f>ROW()</f>
        <v>277</v>
      </c>
      <c r="BE277" s="290">
        <f t="shared" si="22"/>
        <v>1</v>
      </c>
    </row>
    <row r="278" spans="53:57" x14ac:dyDescent="0.25">
      <c r="BA278" s="345" t="s">
        <v>591</v>
      </c>
      <c r="BB278" s="289" t="s">
        <v>1087</v>
      </c>
      <c r="BC278" s="290">
        <f>COUNTIF(BA$4:BA278,BA278)</f>
        <v>6</v>
      </c>
      <c r="BD278" s="290">
        <f>ROW()</f>
        <v>278</v>
      </c>
      <c r="BE278" s="290">
        <f t="shared" si="22"/>
        <v>1</v>
      </c>
    </row>
    <row r="279" spans="53:57" x14ac:dyDescent="0.25">
      <c r="BA279" s="344" t="s">
        <v>593</v>
      </c>
      <c r="BB279" s="289" t="s">
        <v>1088</v>
      </c>
      <c r="BC279" s="290">
        <f>COUNTIF(BA$4:BA279,BA279)</f>
        <v>1</v>
      </c>
      <c r="BD279" s="290">
        <f>ROW()</f>
        <v>279</v>
      </c>
      <c r="BE279" s="290">
        <f t="shared" si="22"/>
        <v>1</v>
      </c>
    </row>
    <row r="280" spans="53:57" x14ac:dyDescent="0.25">
      <c r="BA280" s="344" t="s">
        <v>593</v>
      </c>
      <c r="BB280" s="289" t="s">
        <v>1089</v>
      </c>
      <c r="BC280" s="290">
        <f>COUNTIF(BA$4:BA280,BA280)</f>
        <v>2</v>
      </c>
      <c r="BD280" s="290">
        <f>ROW()</f>
        <v>280</v>
      </c>
      <c r="BE280" s="290">
        <f t="shared" si="22"/>
        <v>1</v>
      </c>
    </row>
    <row r="281" spans="53:57" x14ac:dyDescent="0.25">
      <c r="BA281" s="344" t="s">
        <v>593</v>
      </c>
      <c r="BB281" s="289" t="s">
        <v>1090</v>
      </c>
      <c r="BC281" s="290">
        <f>COUNTIF(BA$4:BA281,BA281)</f>
        <v>3</v>
      </c>
      <c r="BD281" s="290">
        <f>ROW()</f>
        <v>281</v>
      </c>
      <c r="BE281" s="290">
        <f t="shared" si="22"/>
        <v>1</v>
      </c>
    </row>
    <row r="282" spans="53:57" x14ac:dyDescent="0.25">
      <c r="BA282" s="344" t="s">
        <v>592</v>
      </c>
      <c r="BB282" s="289" t="s">
        <v>1091</v>
      </c>
      <c r="BC282" s="290">
        <f>COUNTIF(BA$4:BA282,BA282)</f>
        <v>1</v>
      </c>
      <c r="BD282" s="290">
        <f>ROW()</f>
        <v>282</v>
      </c>
      <c r="BE282" s="290">
        <f t="shared" si="22"/>
        <v>1</v>
      </c>
    </row>
    <row r="283" spans="53:57" x14ac:dyDescent="0.25">
      <c r="BA283" s="344" t="s">
        <v>592</v>
      </c>
      <c r="BB283" s="289" t="s">
        <v>1092</v>
      </c>
      <c r="BC283" s="290">
        <f>COUNTIF(BA$4:BA283,BA283)</f>
        <v>2</v>
      </c>
      <c r="BD283" s="290">
        <f>ROW()</f>
        <v>283</v>
      </c>
      <c r="BE283" s="290">
        <f t="shared" si="22"/>
        <v>1</v>
      </c>
    </row>
    <row r="284" spans="53:57" x14ac:dyDescent="0.25">
      <c r="BA284" s="344" t="s">
        <v>592</v>
      </c>
      <c r="BB284" s="289" t="s">
        <v>1093</v>
      </c>
      <c r="BC284" s="290">
        <f>COUNTIF(BA$4:BA284,BA284)</f>
        <v>3</v>
      </c>
      <c r="BD284" s="290">
        <f>ROW()</f>
        <v>284</v>
      </c>
      <c r="BE284" s="290">
        <f t="shared" si="22"/>
        <v>1</v>
      </c>
    </row>
    <row r="285" spans="53:57" x14ac:dyDescent="0.25">
      <c r="BA285" s="344" t="s">
        <v>592</v>
      </c>
      <c r="BB285" s="289" t="s">
        <v>1094</v>
      </c>
      <c r="BC285" s="290">
        <f>COUNTIF(BA$4:BA285,BA285)</f>
        <v>4</v>
      </c>
      <c r="BD285" s="290">
        <f>ROW()</f>
        <v>285</v>
      </c>
      <c r="BE285" s="290">
        <f t="shared" si="22"/>
        <v>1</v>
      </c>
    </row>
    <row r="286" spans="53:57" x14ac:dyDescent="0.25">
      <c r="BA286" s="344" t="s">
        <v>592</v>
      </c>
      <c r="BB286" s="289" t="s">
        <v>1095</v>
      </c>
      <c r="BC286" s="290">
        <f>COUNTIF(BA$4:BA286,BA286)</f>
        <v>5</v>
      </c>
      <c r="BD286" s="290">
        <f>ROW()</f>
        <v>286</v>
      </c>
      <c r="BE286" s="290">
        <f t="shared" si="22"/>
        <v>1</v>
      </c>
    </row>
    <row r="287" spans="53:57" x14ac:dyDescent="0.25">
      <c r="BA287" s="344" t="s">
        <v>592</v>
      </c>
      <c r="BB287" s="289" t="s">
        <v>1096</v>
      </c>
      <c r="BC287" s="290">
        <f>COUNTIF(BA$4:BA287,BA287)</f>
        <v>6</v>
      </c>
      <c r="BD287" s="290">
        <f>ROW()</f>
        <v>287</v>
      </c>
      <c r="BE287" s="290">
        <f t="shared" si="22"/>
        <v>1</v>
      </c>
    </row>
    <row r="288" spans="53:57" x14ac:dyDescent="0.25">
      <c r="BA288" s="344" t="s">
        <v>592</v>
      </c>
      <c r="BB288" s="289" t="s">
        <v>1097</v>
      </c>
      <c r="BC288" s="290">
        <f>COUNTIF(BA$4:BA288,BA288)</f>
        <v>7</v>
      </c>
      <c r="BD288" s="290">
        <f>ROW()</f>
        <v>288</v>
      </c>
      <c r="BE288" s="290">
        <f t="shared" si="22"/>
        <v>1</v>
      </c>
    </row>
    <row r="289" spans="53:57" x14ac:dyDescent="0.25">
      <c r="BA289" s="344" t="s">
        <v>620</v>
      </c>
      <c r="BB289" s="289" t="s">
        <v>1098</v>
      </c>
      <c r="BC289" s="290">
        <f>COUNTIF(BA$4:BA289,BA289)</f>
        <v>1</v>
      </c>
      <c r="BD289" s="290">
        <f>ROW()</f>
        <v>289</v>
      </c>
      <c r="BE289" s="290">
        <f t="shared" si="22"/>
        <v>1</v>
      </c>
    </row>
    <row r="290" spans="53:57" x14ac:dyDescent="0.25">
      <c r="BA290" s="344" t="s">
        <v>620</v>
      </c>
      <c r="BB290" s="289" t="s">
        <v>1099</v>
      </c>
      <c r="BC290" s="290">
        <f>COUNTIF(BA$4:BA290,BA290)</f>
        <v>2</v>
      </c>
      <c r="BD290" s="290">
        <f>ROW()</f>
        <v>290</v>
      </c>
      <c r="BE290" s="290">
        <f t="shared" si="22"/>
        <v>1</v>
      </c>
    </row>
    <row r="291" spans="53:57" x14ac:dyDescent="0.25">
      <c r="BA291" s="344" t="s">
        <v>610</v>
      </c>
      <c r="BB291" s="289" t="s">
        <v>609</v>
      </c>
      <c r="BC291" s="290">
        <f>COUNTIF(BA$4:BA291,BA291)</f>
        <v>1</v>
      </c>
      <c r="BD291" s="290">
        <f>ROW()</f>
        <v>291</v>
      </c>
      <c r="BE291" s="290">
        <f t="shared" si="22"/>
        <v>1</v>
      </c>
    </row>
    <row r="292" spans="53:57" x14ac:dyDescent="0.25">
      <c r="BA292" s="344" t="s">
        <v>610</v>
      </c>
      <c r="BB292" s="289" t="s">
        <v>804</v>
      </c>
      <c r="BC292" s="290">
        <f>COUNTIF(BA$4:BA292,BA292)</f>
        <v>2</v>
      </c>
      <c r="BD292" s="290">
        <f>ROW()</f>
        <v>292</v>
      </c>
      <c r="BE292" s="290">
        <f t="shared" si="22"/>
        <v>1</v>
      </c>
    </row>
    <row r="293" spans="53:57" x14ac:dyDescent="0.25">
      <c r="BA293" s="344" t="s">
        <v>610</v>
      </c>
      <c r="BB293" s="289" t="s">
        <v>805</v>
      </c>
      <c r="BC293" s="290">
        <f>COUNTIF(BA$4:BA293,BA293)</f>
        <v>3</v>
      </c>
      <c r="BD293" s="290">
        <f>ROW()</f>
        <v>293</v>
      </c>
      <c r="BE293" s="290">
        <f t="shared" si="22"/>
        <v>1</v>
      </c>
    </row>
    <row r="294" spans="53:57" x14ac:dyDescent="0.25">
      <c r="BA294" s="344" t="s">
        <v>610</v>
      </c>
      <c r="BB294" s="289" t="s">
        <v>806</v>
      </c>
      <c r="BC294" s="290">
        <f>COUNTIF(BA$4:BA294,BA294)</f>
        <v>4</v>
      </c>
      <c r="BD294" s="290">
        <f>ROW()</f>
        <v>294</v>
      </c>
      <c r="BE294" s="290">
        <f t="shared" si="22"/>
        <v>1</v>
      </c>
    </row>
    <row r="295" spans="53:57" x14ac:dyDescent="0.25">
      <c r="BA295" s="344" t="s">
        <v>610</v>
      </c>
      <c r="BB295" s="289" t="s">
        <v>807</v>
      </c>
      <c r="BC295" s="290">
        <f>COUNTIF(BA$4:BA295,BA295)</f>
        <v>5</v>
      </c>
      <c r="BD295" s="290">
        <f>ROW()</f>
        <v>295</v>
      </c>
      <c r="BE295" s="290">
        <f t="shared" si="22"/>
        <v>1</v>
      </c>
    </row>
    <row r="296" spans="53:57" x14ac:dyDescent="0.25">
      <c r="BA296" s="344" t="s">
        <v>936</v>
      </c>
      <c r="BB296" s="289" t="s">
        <v>1100</v>
      </c>
      <c r="BC296" s="290">
        <f>COUNTIF(BA$4:BA296,BA296)</f>
        <v>1</v>
      </c>
      <c r="BD296" s="290">
        <f>ROW()</f>
        <v>296</v>
      </c>
      <c r="BE296" s="290">
        <f t="shared" si="22"/>
        <v>1</v>
      </c>
    </row>
    <row r="297" spans="53:57" x14ac:dyDescent="0.25">
      <c r="BA297" s="344" t="s">
        <v>936</v>
      </c>
      <c r="BB297" s="289" t="s">
        <v>1101</v>
      </c>
      <c r="BC297" s="290">
        <f>COUNTIF(BA$4:BA297,BA297)</f>
        <v>2</v>
      </c>
      <c r="BD297" s="290">
        <f>ROW()</f>
        <v>297</v>
      </c>
      <c r="BE297" s="290">
        <f t="shared" si="22"/>
        <v>1</v>
      </c>
    </row>
    <row r="298" spans="53:57" x14ac:dyDescent="0.25">
      <c r="BA298" s="344" t="s">
        <v>936</v>
      </c>
      <c r="BB298" s="289" t="s">
        <v>1102</v>
      </c>
      <c r="BC298" s="290">
        <f>COUNTIF(BA$4:BA298,BA298)</f>
        <v>3</v>
      </c>
      <c r="BD298" s="290">
        <f>ROW()</f>
        <v>298</v>
      </c>
      <c r="BE298" s="290">
        <f t="shared" si="22"/>
        <v>1</v>
      </c>
    </row>
    <row r="299" spans="53:57" x14ac:dyDescent="0.25">
      <c r="BA299" s="344" t="s">
        <v>936</v>
      </c>
      <c r="BB299" s="289" t="s">
        <v>1103</v>
      </c>
      <c r="BC299" s="290">
        <f>COUNTIF(BA$4:BA299,BA299)</f>
        <v>4</v>
      </c>
      <c r="BD299" s="290">
        <f>ROW()</f>
        <v>299</v>
      </c>
      <c r="BE299" s="290">
        <f t="shared" si="22"/>
        <v>1</v>
      </c>
    </row>
    <row r="300" spans="53:57" x14ac:dyDescent="0.25">
      <c r="BA300" s="344" t="s">
        <v>936</v>
      </c>
      <c r="BB300" s="289" t="s">
        <v>1104</v>
      </c>
      <c r="BC300" s="290">
        <f>COUNTIF(BA$4:BA300,BA300)</f>
        <v>5</v>
      </c>
      <c r="BD300" s="290">
        <f>ROW()</f>
        <v>300</v>
      </c>
      <c r="BE300" s="290">
        <f t="shared" si="22"/>
        <v>1</v>
      </c>
    </row>
    <row r="301" spans="53:57" x14ac:dyDescent="0.25">
      <c r="BA301" s="344" t="s">
        <v>936</v>
      </c>
      <c r="BB301" s="289" t="s">
        <v>1105</v>
      </c>
      <c r="BC301" s="290">
        <f>COUNTIF(BA$4:BA301,BA301)</f>
        <v>6</v>
      </c>
      <c r="BD301" s="290">
        <f>ROW()</f>
        <v>301</v>
      </c>
      <c r="BE301" s="290">
        <f t="shared" si="22"/>
        <v>1</v>
      </c>
    </row>
    <row r="302" spans="53:57" x14ac:dyDescent="0.25">
      <c r="BA302" s="344" t="s">
        <v>939</v>
      </c>
      <c r="BB302" s="289" t="s">
        <v>1106</v>
      </c>
      <c r="BC302" s="290">
        <f>COUNTIF(BA$4:BA302,BA302)</f>
        <v>1</v>
      </c>
      <c r="BD302" s="290">
        <f>ROW()</f>
        <v>302</v>
      </c>
      <c r="BE302" s="290">
        <f t="shared" si="22"/>
        <v>1</v>
      </c>
    </row>
    <row r="303" spans="53:57" x14ac:dyDescent="0.25">
      <c r="BA303" s="344" t="s">
        <v>939</v>
      </c>
      <c r="BB303" s="289" t="s">
        <v>1107</v>
      </c>
      <c r="BC303" s="290">
        <f>COUNTIF(BA$4:BA303,BA303)</f>
        <v>2</v>
      </c>
      <c r="BD303" s="290">
        <f>ROW()</f>
        <v>303</v>
      </c>
      <c r="BE303" s="290">
        <f t="shared" si="22"/>
        <v>1</v>
      </c>
    </row>
    <row r="304" spans="53:57" x14ac:dyDescent="0.25">
      <c r="BA304" s="344" t="s">
        <v>939</v>
      </c>
      <c r="BB304" s="289" t="s">
        <v>1108</v>
      </c>
      <c r="BC304" s="290">
        <f>COUNTIF(BA$4:BA304,BA304)</f>
        <v>3</v>
      </c>
      <c r="BD304" s="290">
        <f>ROW()</f>
        <v>304</v>
      </c>
      <c r="BE304" s="290">
        <f t="shared" si="22"/>
        <v>1</v>
      </c>
    </row>
    <row r="305" spans="53:57" x14ac:dyDescent="0.25">
      <c r="BA305" s="344" t="s">
        <v>939</v>
      </c>
      <c r="BB305" s="289" t="s">
        <v>1109</v>
      </c>
      <c r="BC305" s="290">
        <f>COUNTIF(BA$4:BA305,BA305)</f>
        <v>4</v>
      </c>
      <c r="BD305" s="290">
        <f>ROW()</f>
        <v>305</v>
      </c>
      <c r="BE305" s="290">
        <f t="shared" si="22"/>
        <v>1</v>
      </c>
    </row>
    <row r="306" spans="53:57" x14ac:dyDescent="0.25">
      <c r="BA306" s="346" t="s">
        <v>1004</v>
      </c>
      <c r="BB306" s="289" t="s">
        <v>1110</v>
      </c>
      <c r="BC306" s="290">
        <f>COUNTIF(BA$4:BA306,BA306)</f>
        <v>1</v>
      </c>
      <c r="BD306" s="290">
        <f>ROW()</f>
        <v>306</v>
      </c>
      <c r="BE306" s="290">
        <f t="shared" si="22"/>
        <v>1</v>
      </c>
    </row>
    <row r="307" spans="53:57" x14ac:dyDescent="0.25">
      <c r="BA307" s="346" t="s">
        <v>1004</v>
      </c>
      <c r="BB307" s="289" t="s">
        <v>1111</v>
      </c>
      <c r="BC307" s="290">
        <f>COUNTIF(BA$4:BA307,BA307)</f>
        <v>2</v>
      </c>
      <c r="BD307" s="290">
        <f>ROW()</f>
        <v>307</v>
      </c>
      <c r="BE307" s="290">
        <f t="shared" si="22"/>
        <v>1</v>
      </c>
    </row>
    <row r="308" spans="53:57" x14ac:dyDescent="0.25">
      <c r="BA308" s="346" t="s">
        <v>1004</v>
      </c>
      <c r="BB308" s="289" t="s">
        <v>1112</v>
      </c>
      <c r="BC308" s="290">
        <f>COUNTIF(BA$4:BA308,BA308)</f>
        <v>3</v>
      </c>
      <c r="BD308" s="290">
        <f>ROW()</f>
        <v>308</v>
      </c>
      <c r="BE308" s="290">
        <f t="shared" si="22"/>
        <v>1</v>
      </c>
    </row>
  </sheetData>
  <sheetProtection formatCells="0" formatColumns="0" autoFilter="0"/>
  <sortState ref="C49:D121">
    <sortCondition ref="C49:C121"/>
  </sortState>
  <conditionalFormatting sqref="AT74:AU74 AS4:AU16 AS76:AU76 AS18:AU73">
    <cfRule type="duplicateValues" dxfId="13" priority="5"/>
  </conditionalFormatting>
  <conditionalFormatting sqref="AQ76 AQ4:AQ16 AQ18:AQ74">
    <cfRule type="duplicateValues" dxfId="12" priority="6"/>
  </conditionalFormatting>
  <conditionalFormatting sqref="AS17:AU17">
    <cfRule type="duplicateValues" dxfId="11" priority="3"/>
  </conditionalFormatting>
  <conditionalFormatting sqref="AQ17">
    <cfRule type="duplicateValues" dxfId="10" priority="4"/>
  </conditionalFormatting>
  <conditionalFormatting sqref="AS75:AU75">
    <cfRule type="duplicateValues" dxfId="9" priority="1"/>
  </conditionalFormatting>
  <conditionalFormatting sqref="AQ75">
    <cfRule type="duplicateValues" dxfId="8" priority="2"/>
  </conditionalFormatting>
  <hyperlinks>
    <hyperlink ref="AS68" r:id="rId1"/>
    <hyperlink ref="AS76" r:id="rId2"/>
  </hyperlinks>
  <pageMargins left="0.7" right="0.7" top="0.75" bottom="0.75" header="0.3" footer="0.3"/>
  <pageSetup paperSize="9" orientation="portrait" r:id="rId3"/>
  <legacy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tabColor theme="8" tint="0.39997558519241921"/>
  </sheetPr>
  <dimension ref="A1:Z81"/>
  <sheetViews>
    <sheetView showGridLines="0" view="pageBreakPreview" topLeftCell="A7" zoomScale="85" zoomScaleNormal="85" zoomScaleSheetLayoutView="85" workbookViewId="0">
      <selection activeCell="E11" sqref="E11"/>
    </sheetView>
  </sheetViews>
  <sheetFormatPr baseColWidth="10" defaultColWidth="0" defaultRowHeight="15" zeroHeight="1" x14ac:dyDescent="0.25"/>
  <cols>
    <col min="1" max="1" width="4.42578125" customWidth="1"/>
    <col min="2" max="2" width="3.42578125" customWidth="1"/>
    <col min="3" max="3" width="9.28515625" customWidth="1"/>
    <col min="4" max="4" width="10.85546875" customWidth="1"/>
    <col min="5" max="6" width="29.140625" customWidth="1"/>
    <col min="7" max="7" width="8.28515625" customWidth="1"/>
    <col min="8" max="8" width="10.85546875" customWidth="1"/>
    <col min="9" max="9" width="11.140625" customWidth="1"/>
    <col min="10" max="10" width="14.140625" customWidth="1"/>
    <col min="11" max="11" width="4" style="20" customWidth="1"/>
    <col min="12" max="12" width="3.85546875" style="20" customWidth="1"/>
    <col min="13" max="13" width="13.140625" customWidth="1"/>
    <col min="14" max="14" width="17.7109375" customWidth="1"/>
    <col min="15" max="15" width="6" customWidth="1"/>
    <col min="16" max="18" width="5.140625" customWidth="1"/>
    <col min="19" max="21" width="5.140625" hidden="1" customWidth="1"/>
    <col min="22" max="22" width="10.42578125" customWidth="1"/>
    <col min="23" max="24" width="43.5703125" customWidth="1"/>
    <col min="25" max="25" width="3.7109375" customWidth="1"/>
    <col min="26" max="26" width="11.42578125" customWidth="1"/>
    <col min="27" max="16384" width="11.42578125" hidden="1"/>
  </cols>
  <sheetData>
    <row r="1" spans="2:25" ht="25.5" customHeight="1" x14ac:dyDescent="0.25"/>
    <row r="2" spans="2:25" ht="104.25" customHeight="1" thickBot="1" x14ac:dyDescent="0.3"/>
    <row r="3" spans="2:25" ht="7.5" hidden="1" customHeight="1" thickBot="1" x14ac:dyDescent="0.3"/>
    <row r="4" spans="2:25" ht="48.75" customHeight="1" thickBot="1" x14ac:dyDescent="0.3">
      <c r="B4" s="490" t="str">
        <f>Datos_Generales!B3</f>
        <v>PRESENTACIÓN DE PROYECTOS 
DE INICIACIÓN CIENTIFÍCA 2018 - 2</v>
      </c>
      <c r="C4" s="491"/>
      <c r="D4" s="491"/>
      <c r="E4" s="491"/>
      <c r="F4" s="492"/>
      <c r="G4" s="486" t="s">
        <v>465</v>
      </c>
      <c r="H4" s="487"/>
      <c r="I4" s="486" t="s">
        <v>467</v>
      </c>
      <c r="J4" s="487"/>
    </row>
    <row r="5" spans="2:25" ht="32.25" thickBot="1" x14ac:dyDescent="0.3">
      <c r="B5" s="493"/>
      <c r="C5" s="494"/>
      <c r="D5" s="494"/>
      <c r="E5" s="494"/>
      <c r="F5" s="495"/>
      <c r="G5" s="488" t="s">
        <v>466</v>
      </c>
      <c r="H5" s="489"/>
      <c r="I5" s="499" t="s">
        <v>46</v>
      </c>
      <c r="J5" s="500"/>
      <c r="P5" s="19" t="s">
        <v>33</v>
      </c>
      <c r="Q5" s="19" t="s">
        <v>23</v>
      </c>
      <c r="R5" s="19" t="s">
        <v>16</v>
      </c>
      <c r="S5" s="19" t="s">
        <v>43</v>
      </c>
      <c r="T5" s="19" t="s">
        <v>53</v>
      </c>
      <c r="U5" s="19" t="s">
        <v>49</v>
      </c>
    </row>
    <row r="6" spans="2:25" x14ac:dyDescent="0.25">
      <c r="P6" s="20">
        <v>3</v>
      </c>
      <c r="Q6" s="20">
        <f>P6+1</f>
        <v>4</v>
      </c>
      <c r="R6" s="20">
        <f>Q6+1</f>
        <v>5</v>
      </c>
      <c r="S6" s="20">
        <f>R6+1</f>
        <v>6</v>
      </c>
      <c r="T6" s="20">
        <f>S6+1</f>
        <v>7</v>
      </c>
      <c r="U6" s="20">
        <f>T6+1</f>
        <v>8</v>
      </c>
    </row>
    <row r="7" spans="2:25" x14ac:dyDescent="0.25">
      <c r="B7" s="21" t="s">
        <v>484</v>
      </c>
      <c r="C7" s="22" t="s">
        <v>362</v>
      </c>
      <c r="D7" s="23"/>
      <c r="E7" s="23"/>
      <c r="F7" s="23"/>
      <c r="G7" s="23"/>
      <c r="H7" s="24">
        <f>HLOOKUP(J7,P5:U7,2,0)</f>
        <v>5</v>
      </c>
      <c r="I7" s="270">
        <f>H31</f>
        <v>0</v>
      </c>
      <c r="J7" s="25" t="str">
        <f>IFERROR(Integrantes!I7,"NA")</f>
        <v>PIC</v>
      </c>
      <c r="L7" s="20">
        <f>SUM(K10:K30)</f>
        <v>0</v>
      </c>
    </row>
    <row r="8" spans="2:25" ht="15" customHeight="1" thickBot="1" x14ac:dyDescent="0.4">
      <c r="H8" s="240">
        <f>Integrantes!S10</f>
        <v>0</v>
      </c>
      <c r="P8" s="498" t="s">
        <v>272</v>
      </c>
      <c r="Q8" s="498"/>
      <c r="R8" s="498"/>
      <c r="S8" s="498"/>
      <c r="T8" s="498"/>
      <c r="U8" s="498"/>
    </row>
    <row r="9" spans="2:25" ht="36" customHeight="1" thickBot="1" x14ac:dyDescent="0.3">
      <c r="B9" s="26" t="s">
        <v>261</v>
      </c>
      <c r="C9" s="501" t="s">
        <v>273</v>
      </c>
      <c r="D9" s="501"/>
      <c r="E9" s="139" t="s">
        <v>547</v>
      </c>
      <c r="F9" s="79" t="s">
        <v>275</v>
      </c>
      <c r="G9" s="27" t="s">
        <v>473</v>
      </c>
      <c r="H9" s="79" t="s">
        <v>546</v>
      </c>
      <c r="I9" s="502" t="s">
        <v>548</v>
      </c>
      <c r="J9" s="503"/>
      <c r="K9" s="250"/>
      <c r="L9" s="249"/>
      <c r="N9" s="1" t="s">
        <v>4</v>
      </c>
      <c r="O9" s="1" t="s">
        <v>276</v>
      </c>
      <c r="P9" s="19" t="s">
        <v>33</v>
      </c>
      <c r="Q9" s="19" t="s">
        <v>23</v>
      </c>
      <c r="R9" s="19" t="s">
        <v>16</v>
      </c>
      <c r="S9" s="19" t="s">
        <v>43</v>
      </c>
      <c r="T9" s="19" t="s">
        <v>53</v>
      </c>
      <c r="U9" s="19" t="s">
        <v>49</v>
      </c>
      <c r="V9" s="1" t="s">
        <v>277</v>
      </c>
      <c r="W9" s="1" t="s">
        <v>278</v>
      </c>
      <c r="X9" s="1" t="s">
        <v>421</v>
      </c>
      <c r="Y9" s="127" t="s">
        <v>365</v>
      </c>
    </row>
    <row r="10" spans="2:25" ht="15.75" thickTop="1" x14ac:dyDescent="0.25">
      <c r="B10" s="28">
        <v>1</v>
      </c>
      <c r="C10" s="504"/>
      <c r="D10" s="505"/>
      <c r="E10" s="149"/>
      <c r="F10" s="153" t="str">
        <f t="shared" ref="F10:F30" si="0">IFERROR(VLOOKUP($C10,Tabla_prod,11,0)," ")</f>
        <v xml:space="preserve"> </v>
      </c>
      <c r="G10" s="151">
        <v>1</v>
      </c>
      <c r="H10" s="153">
        <f>IFERROR(VLOOKUP($C10,Tabla_prod,$H$7,0)*G10,0)</f>
        <v>0</v>
      </c>
      <c r="I10" s="506"/>
      <c r="J10" s="507"/>
      <c r="K10" s="250">
        <f>IF(C10&lt;&gt;0,IF(AND(E10&lt;&gt;0,I10&lt;&gt;0),0,1),0)</f>
        <v>0</v>
      </c>
      <c r="L10" s="249">
        <f t="shared" ref="L10:L30" si="1">IFERROR(VLOOKUP($C10,$N$9:$O$201,2,0),0)</f>
        <v>0</v>
      </c>
      <c r="N10" s="197" t="s">
        <v>15</v>
      </c>
      <c r="O10" s="197" t="s">
        <v>279</v>
      </c>
      <c r="P10" s="29">
        <v>60</v>
      </c>
      <c r="Q10" s="29">
        <v>60</v>
      </c>
      <c r="R10" s="29">
        <v>0</v>
      </c>
      <c r="S10" s="29">
        <v>0</v>
      </c>
      <c r="T10" s="29">
        <v>0</v>
      </c>
      <c r="U10" s="29">
        <v>0</v>
      </c>
      <c r="V10" s="197" t="s">
        <v>280</v>
      </c>
      <c r="W10" s="197" t="s">
        <v>281</v>
      </c>
      <c r="X10" s="197" t="s">
        <v>422</v>
      </c>
      <c r="Y10" s="159" t="s">
        <v>365</v>
      </c>
    </row>
    <row r="11" spans="2:25" ht="31.5" customHeight="1" x14ac:dyDescent="0.25">
      <c r="B11" s="30">
        <v>2</v>
      </c>
      <c r="C11" s="508"/>
      <c r="D11" s="509"/>
      <c r="E11" s="150"/>
      <c r="F11" s="154" t="str">
        <f t="shared" si="0"/>
        <v xml:space="preserve"> </v>
      </c>
      <c r="G11" s="151">
        <v>1</v>
      </c>
      <c r="H11" s="154">
        <f t="shared" ref="H11:H30" si="2">IFERROR(VLOOKUP($C11,Tabla_prod,$H$7,0)*G11,0)</f>
        <v>0</v>
      </c>
      <c r="I11" s="510"/>
      <c r="J11" s="511"/>
      <c r="K11" s="250">
        <f t="shared" ref="K11:K30" si="3">IF(C11&lt;&gt;0,IF(AND(E11&lt;&gt;0,I11&lt;&gt;0),0,1),0)</f>
        <v>0</v>
      </c>
      <c r="L11" s="249">
        <f t="shared" si="1"/>
        <v>0</v>
      </c>
      <c r="N11" s="198" t="s">
        <v>21</v>
      </c>
      <c r="O11" s="198" t="s">
        <v>279</v>
      </c>
      <c r="P11" s="31">
        <v>50</v>
      </c>
      <c r="Q11" s="31">
        <v>50</v>
      </c>
      <c r="R11" s="31">
        <v>0</v>
      </c>
      <c r="S11" s="31">
        <v>0</v>
      </c>
      <c r="T11" s="31">
        <v>0</v>
      </c>
      <c r="U11" s="31">
        <v>0</v>
      </c>
      <c r="V11" s="198" t="s">
        <v>280</v>
      </c>
      <c r="W11" s="198" t="s">
        <v>282</v>
      </c>
      <c r="X11" s="198" t="s">
        <v>422</v>
      </c>
      <c r="Y11" s="159" t="s">
        <v>365</v>
      </c>
    </row>
    <row r="12" spans="2:25" ht="31.5" customHeight="1" x14ac:dyDescent="0.25">
      <c r="B12" s="30">
        <v>3</v>
      </c>
      <c r="C12" s="508"/>
      <c r="D12" s="509"/>
      <c r="E12" s="150"/>
      <c r="F12" s="154" t="str">
        <f t="shared" si="0"/>
        <v xml:space="preserve"> </v>
      </c>
      <c r="G12" s="151">
        <v>1</v>
      </c>
      <c r="H12" s="154">
        <f t="shared" si="2"/>
        <v>0</v>
      </c>
      <c r="I12" s="510"/>
      <c r="J12" s="511"/>
      <c r="K12" s="250">
        <f t="shared" si="3"/>
        <v>0</v>
      </c>
      <c r="L12" s="249">
        <f t="shared" si="1"/>
        <v>0</v>
      </c>
      <c r="N12" s="198" t="s">
        <v>510</v>
      </c>
      <c r="O12" s="198" t="s">
        <v>279</v>
      </c>
      <c r="P12" s="31">
        <v>40</v>
      </c>
      <c r="Q12" s="31">
        <v>40</v>
      </c>
      <c r="R12" s="31">
        <v>0</v>
      </c>
      <c r="S12" s="31">
        <v>0</v>
      </c>
      <c r="T12" s="31">
        <v>0</v>
      </c>
      <c r="U12" s="31">
        <v>0</v>
      </c>
      <c r="V12" s="198" t="s">
        <v>280</v>
      </c>
      <c r="W12" s="198" t="s">
        <v>512</v>
      </c>
      <c r="X12" s="198" t="s">
        <v>422</v>
      </c>
      <c r="Y12" s="159" t="s">
        <v>365</v>
      </c>
    </row>
    <row r="13" spans="2:25" ht="15" customHeight="1" x14ac:dyDescent="0.25">
      <c r="B13" s="30">
        <v>4</v>
      </c>
      <c r="C13" s="508"/>
      <c r="D13" s="509"/>
      <c r="E13" s="150"/>
      <c r="F13" s="154" t="str">
        <f t="shared" si="0"/>
        <v xml:space="preserve"> </v>
      </c>
      <c r="G13" s="151">
        <v>1</v>
      </c>
      <c r="H13" s="154">
        <f t="shared" si="2"/>
        <v>0</v>
      </c>
      <c r="I13" s="510"/>
      <c r="J13" s="511"/>
      <c r="K13" s="250">
        <f t="shared" si="3"/>
        <v>0</v>
      </c>
      <c r="L13" s="249">
        <f t="shared" si="1"/>
        <v>0</v>
      </c>
      <c r="N13" s="198" t="s">
        <v>511</v>
      </c>
      <c r="O13" s="198" t="s">
        <v>279</v>
      </c>
      <c r="P13" s="31">
        <v>30</v>
      </c>
      <c r="Q13" s="31">
        <v>30</v>
      </c>
      <c r="R13" s="31">
        <v>0</v>
      </c>
      <c r="S13" s="31">
        <v>0</v>
      </c>
      <c r="T13" s="31">
        <v>0</v>
      </c>
      <c r="U13" s="31">
        <v>0</v>
      </c>
      <c r="V13" s="198" t="s">
        <v>280</v>
      </c>
      <c r="W13" s="198" t="s">
        <v>513</v>
      </c>
      <c r="X13" s="198" t="s">
        <v>422</v>
      </c>
      <c r="Y13" s="159" t="s">
        <v>365</v>
      </c>
    </row>
    <row r="14" spans="2:25" ht="15" customHeight="1" x14ac:dyDescent="0.25">
      <c r="B14" s="30">
        <v>5</v>
      </c>
      <c r="C14" s="508"/>
      <c r="D14" s="509"/>
      <c r="E14" s="150"/>
      <c r="F14" s="154" t="str">
        <f t="shared" si="0"/>
        <v xml:space="preserve"> </v>
      </c>
      <c r="G14" s="151">
        <v>1</v>
      </c>
      <c r="H14" s="154">
        <f t="shared" si="2"/>
        <v>0</v>
      </c>
      <c r="I14" s="510"/>
      <c r="J14" s="511"/>
      <c r="K14" s="250">
        <f t="shared" si="3"/>
        <v>0</v>
      </c>
      <c r="L14" s="249">
        <f t="shared" si="1"/>
        <v>0</v>
      </c>
      <c r="N14" s="198" t="s">
        <v>31</v>
      </c>
      <c r="O14" s="198" t="s">
        <v>279</v>
      </c>
      <c r="P14" s="31">
        <v>20</v>
      </c>
      <c r="Q14" s="31">
        <v>20</v>
      </c>
      <c r="R14" s="31">
        <v>20</v>
      </c>
      <c r="S14" s="31">
        <v>0</v>
      </c>
      <c r="T14" s="31">
        <v>0</v>
      </c>
      <c r="U14" s="31">
        <v>0</v>
      </c>
      <c r="V14" s="198" t="s">
        <v>280</v>
      </c>
      <c r="W14" s="198" t="s">
        <v>283</v>
      </c>
      <c r="X14" s="198" t="s">
        <v>422</v>
      </c>
      <c r="Y14" s="159" t="s">
        <v>365</v>
      </c>
    </row>
    <row r="15" spans="2:25" ht="15" customHeight="1" x14ac:dyDescent="0.25">
      <c r="B15" s="30">
        <v>6</v>
      </c>
      <c r="C15" s="508"/>
      <c r="D15" s="509"/>
      <c r="E15" s="150"/>
      <c r="F15" s="154" t="str">
        <f t="shared" si="0"/>
        <v xml:space="preserve"> </v>
      </c>
      <c r="G15" s="151">
        <v>1</v>
      </c>
      <c r="H15" s="154">
        <f t="shared" si="2"/>
        <v>0</v>
      </c>
      <c r="I15" s="510"/>
      <c r="J15" s="511"/>
      <c r="K15" s="250">
        <f t="shared" si="3"/>
        <v>0</v>
      </c>
      <c r="L15" s="249">
        <f t="shared" si="1"/>
        <v>0</v>
      </c>
      <c r="N15" s="198" t="s">
        <v>40</v>
      </c>
      <c r="O15" s="198" t="s">
        <v>279</v>
      </c>
      <c r="P15" s="31">
        <v>16</v>
      </c>
      <c r="Q15" s="31">
        <v>16</v>
      </c>
      <c r="R15" s="31">
        <v>16</v>
      </c>
      <c r="S15" s="31">
        <v>0</v>
      </c>
      <c r="T15" s="31">
        <v>0</v>
      </c>
      <c r="U15" s="31">
        <v>0</v>
      </c>
      <c r="V15" s="198" t="s">
        <v>280</v>
      </c>
      <c r="W15" s="198" t="s">
        <v>284</v>
      </c>
      <c r="X15" s="198" t="s">
        <v>422</v>
      </c>
      <c r="Y15" s="159" t="s">
        <v>365</v>
      </c>
    </row>
    <row r="16" spans="2:25" ht="15" customHeight="1" x14ac:dyDescent="0.25">
      <c r="B16" s="30">
        <v>7</v>
      </c>
      <c r="C16" s="508"/>
      <c r="D16" s="509"/>
      <c r="E16" s="150"/>
      <c r="F16" s="154" t="str">
        <f t="shared" si="0"/>
        <v xml:space="preserve"> </v>
      </c>
      <c r="G16" s="151">
        <v>1</v>
      </c>
      <c r="H16" s="154">
        <f t="shared" si="2"/>
        <v>0</v>
      </c>
      <c r="I16" s="510"/>
      <c r="J16" s="511"/>
      <c r="K16" s="250">
        <f t="shared" si="3"/>
        <v>0</v>
      </c>
      <c r="L16" s="249">
        <f t="shared" si="1"/>
        <v>0</v>
      </c>
      <c r="N16" s="198" t="s">
        <v>47</v>
      </c>
      <c r="O16" s="198" t="s">
        <v>279</v>
      </c>
      <c r="P16" s="31">
        <v>14</v>
      </c>
      <c r="Q16" s="31">
        <v>14</v>
      </c>
      <c r="R16" s="31">
        <v>14</v>
      </c>
      <c r="S16" s="31">
        <v>0</v>
      </c>
      <c r="T16" s="31">
        <v>0</v>
      </c>
      <c r="U16" s="31">
        <v>0</v>
      </c>
      <c r="V16" s="198" t="s">
        <v>280</v>
      </c>
      <c r="W16" s="198" t="s">
        <v>285</v>
      </c>
      <c r="X16" s="198" t="s">
        <v>422</v>
      </c>
      <c r="Y16" s="159" t="s">
        <v>365</v>
      </c>
    </row>
    <row r="17" spans="2:25" ht="15" customHeight="1" x14ac:dyDescent="0.25">
      <c r="B17" s="30">
        <v>8</v>
      </c>
      <c r="C17" s="508"/>
      <c r="D17" s="509"/>
      <c r="E17" s="150"/>
      <c r="F17" s="154" t="str">
        <f t="shared" si="0"/>
        <v xml:space="preserve"> </v>
      </c>
      <c r="G17" s="151">
        <v>1</v>
      </c>
      <c r="H17" s="154">
        <f t="shared" si="2"/>
        <v>0</v>
      </c>
      <c r="I17" s="510"/>
      <c r="J17" s="511"/>
      <c r="K17" s="250">
        <f t="shared" si="3"/>
        <v>0</v>
      </c>
      <c r="L17" s="249">
        <f t="shared" si="1"/>
        <v>0</v>
      </c>
      <c r="N17" s="198" t="s">
        <v>52</v>
      </c>
      <c r="O17" s="198" t="s">
        <v>279</v>
      </c>
      <c r="P17" s="31">
        <v>12</v>
      </c>
      <c r="Q17" s="31">
        <v>12</v>
      </c>
      <c r="R17" s="31">
        <v>12</v>
      </c>
      <c r="S17" s="31">
        <v>0</v>
      </c>
      <c r="T17" s="31">
        <v>0</v>
      </c>
      <c r="U17" s="31">
        <v>0</v>
      </c>
      <c r="V17" s="198" t="s">
        <v>280</v>
      </c>
      <c r="W17" s="198" t="s">
        <v>286</v>
      </c>
      <c r="X17" s="198" t="s">
        <v>422</v>
      </c>
      <c r="Y17" s="159" t="s">
        <v>365</v>
      </c>
    </row>
    <row r="18" spans="2:25" ht="15" customHeight="1" x14ac:dyDescent="0.25">
      <c r="B18" s="30">
        <v>9</v>
      </c>
      <c r="C18" s="508"/>
      <c r="D18" s="509"/>
      <c r="E18" s="150"/>
      <c r="F18" s="154" t="str">
        <f t="shared" si="0"/>
        <v xml:space="preserve"> </v>
      </c>
      <c r="G18" s="151">
        <v>1</v>
      </c>
      <c r="H18" s="154">
        <f t="shared" si="2"/>
        <v>0</v>
      </c>
      <c r="I18" s="510"/>
      <c r="J18" s="511"/>
      <c r="K18" s="250">
        <f t="shared" si="3"/>
        <v>0</v>
      </c>
      <c r="L18" s="249">
        <f t="shared" si="1"/>
        <v>0</v>
      </c>
      <c r="N18" s="198" t="s">
        <v>644</v>
      </c>
      <c r="O18" s="198" t="s">
        <v>279</v>
      </c>
      <c r="P18" s="31">
        <v>0</v>
      </c>
      <c r="Q18" s="31">
        <v>0</v>
      </c>
      <c r="R18" s="31">
        <v>1</v>
      </c>
      <c r="S18" s="31"/>
      <c r="T18" s="31"/>
      <c r="U18" s="31"/>
      <c r="V18" s="198" t="s">
        <v>280</v>
      </c>
      <c r="W18" s="198" t="s">
        <v>643</v>
      </c>
      <c r="X18" s="198" t="s">
        <v>422</v>
      </c>
      <c r="Y18" s="159" t="s">
        <v>365</v>
      </c>
    </row>
    <row r="19" spans="2:25" ht="15" customHeight="1" x14ac:dyDescent="0.25">
      <c r="B19" s="30">
        <v>10</v>
      </c>
      <c r="C19" s="508"/>
      <c r="D19" s="509"/>
      <c r="E19" s="150"/>
      <c r="F19" s="154" t="str">
        <f t="shared" si="0"/>
        <v xml:space="preserve"> </v>
      </c>
      <c r="G19" s="151">
        <v>0</v>
      </c>
      <c r="H19" s="154">
        <f t="shared" si="2"/>
        <v>0</v>
      </c>
      <c r="I19" s="510"/>
      <c r="J19" s="511"/>
      <c r="K19" s="250">
        <f t="shared" si="3"/>
        <v>0</v>
      </c>
      <c r="L19" s="249">
        <f t="shared" si="1"/>
        <v>0</v>
      </c>
      <c r="N19" s="198" t="s">
        <v>58</v>
      </c>
      <c r="O19" s="198" t="s">
        <v>279</v>
      </c>
      <c r="P19" s="31">
        <v>40</v>
      </c>
      <c r="Q19" s="31">
        <v>40</v>
      </c>
      <c r="R19" s="31">
        <v>0</v>
      </c>
      <c r="S19" s="31">
        <v>0</v>
      </c>
      <c r="T19" s="31">
        <v>0</v>
      </c>
      <c r="U19" s="31">
        <v>0</v>
      </c>
      <c r="V19" s="198" t="s">
        <v>280</v>
      </c>
      <c r="W19" s="198" t="s">
        <v>287</v>
      </c>
      <c r="X19" s="198" t="s">
        <v>422</v>
      </c>
      <c r="Y19" s="159" t="s">
        <v>365</v>
      </c>
    </row>
    <row r="20" spans="2:25" ht="15" customHeight="1" x14ac:dyDescent="0.25">
      <c r="B20" s="30">
        <v>11</v>
      </c>
      <c r="C20" s="508"/>
      <c r="D20" s="509"/>
      <c r="E20" s="150"/>
      <c r="F20" s="154" t="str">
        <f t="shared" si="0"/>
        <v xml:space="preserve"> </v>
      </c>
      <c r="G20" s="151">
        <v>0</v>
      </c>
      <c r="H20" s="154">
        <f t="shared" si="2"/>
        <v>0</v>
      </c>
      <c r="I20" s="510"/>
      <c r="J20" s="511"/>
      <c r="K20" s="250">
        <f t="shared" si="3"/>
        <v>0</v>
      </c>
      <c r="L20" s="249">
        <f t="shared" si="1"/>
        <v>0</v>
      </c>
      <c r="N20" s="198" t="s">
        <v>63</v>
      </c>
      <c r="O20" s="198" t="s">
        <v>279</v>
      </c>
      <c r="P20" s="31">
        <v>15</v>
      </c>
      <c r="Q20" s="31">
        <v>15</v>
      </c>
      <c r="R20" s="31">
        <v>0</v>
      </c>
      <c r="S20" s="31">
        <v>0</v>
      </c>
      <c r="T20" s="31">
        <v>0</v>
      </c>
      <c r="U20" s="31">
        <v>0</v>
      </c>
      <c r="V20" s="198" t="s">
        <v>280</v>
      </c>
      <c r="W20" s="198" t="s">
        <v>288</v>
      </c>
      <c r="X20" s="198" t="s">
        <v>422</v>
      </c>
      <c r="Y20" s="159" t="s">
        <v>365</v>
      </c>
    </row>
    <row r="21" spans="2:25" ht="15" customHeight="1" x14ac:dyDescent="0.25">
      <c r="B21" s="30">
        <v>12</v>
      </c>
      <c r="C21" s="508"/>
      <c r="D21" s="509"/>
      <c r="E21" s="150"/>
      <c r="F21" s="154" t="str">
        <f t="shared" si="0"/>
        <v xml:space="preserve"> </v>
      </c>
      <c r="G21" s="151">
        <v>0</v>
      </c>
      <c r="H21" s="154">
        <f t="shared" si="2"/>
        <v>0</v>
      </c>
      <c r="I21" s="510"/>
      <c r="J21" s="511"/>
      <c r="K21" s="250">
        <f t="shared" si="3"/>
        <v>0</v>
      </c>
      <c r="L21" s="249">
        <f t="shared" si="1"/>
        <v>0</v>
      </c>
      <c r="N21" s="198" t="s">
        <v>520</v>
      </c>
      <c r="O21" s="198" t="s">
        <v>279</v>
      </c>
      <c r="P21" s="31">
        <v>60</v>
      </c>
      <c r="Q21" s="31">
        <v>60</v>
      </c>
      <c r="R21" s="31">
        <v>0</v>
      </c>
      <c r="S21" s="31">
        <v>0</v>
      </c>
      <c r="T21" s="31">
        <v>0</v>
      </c>
      <c r="U21" s="31">
        <v>0</v>
      </c>
      <c r="V21" s="198" t="s">
        <v>280</v>
      </c>
      <c r="W21" s="198" t="s">
        <v>289</v>
      </c>
      <c r="X21" s="198" t="s">
        <v>523</v>
      </c>
      <c r="Y21" s="159" t="s">
        <v>365</v>
      </c>
    </row>
    <row r="22" spans="2:25" ht="15" customHeight="1" x14ac:dyDescent="0.25">
      <c r="B22" s="30">
        <v>13</v>
      </c>
      <c r="C22" s="508"/>
      <c r="D22" s="509"/>
      <c r="E22" s="150"/>
      <c r="F22" s="154" t="str">
        <f t="shared" si="0"/>
        <v xml:space="preserve"> </v>
      </c>
      <c r="G22" s="151">
        <v>0</v>
      </c>
      <c r="H22" s="154">
        <f>IFERROR(VLOOKUP($C22,Tabla_prod,$H$7,0)*G22,0)</f>
        <v>0</v>
      </c>
      <c r="I22" s="510"/>
      <c r="J22" s="511"/>
      <c r="K22" s="250">
        <f t="shared" si="3"/>
        <v>0</v>
      </c>
      <c r="L22" s="249">
        <f t="shared" si="1"/>
        <v>0</v>
      </c>
      <c r="N22" s="198" t="s">
        <v>521</v>
      </c>
      <c r="O22" s="198" t="s">
        <v>279</v>
      </c>
      <c r="P22" s="31">
        <v>30</v>
      </c>
      <c r="Q22" s="31">
        <v>30</v>
      </c>
      <c r="R22" s="31">
        <v>0</v>
      </c>
      <c r="S22" s="31">
        <v>0</v>
      </c>
      <c r="T22" s="31">
        <v>0</v>
      </c>
      <c r="U22" s="31">
        <v>0</v>
      </c>
      <c r="V22" s="198" t="s">
        <v>280</v>
      </c>
      <c r="W22" s="198" t="s">
        <v>522</v>
      </c>
      <c r="X22" s="198" t="s">
        <v>523</v>
      </c>
      <c r="Y22" s="159" t="s">
        <v>365</v>
      </c>
    </row>
    <row r="23" spans="2:25" ht="15" customHeight="1" x14ac:dyDescent="0.25">
      <c r="B23" s="30">
        <v>14</v>
      </c>
      <c r="C23" s="508"/>
      <c r="D23" s="509"/>
      <c r="E23" s="150"/>
      <c r="F23" s="154" t="str">
        <f t="shared" si="0"/>
        <v xml:space="preserve"> </v>
      </c>
      <c r="G23" s="151">
        <v>0</v>
      </c>
      <c r="H23" s="154">
        <f t="shared" si="2"/>
        <v>0</v>
      </c>
      <c r="I23" s="510"/>
      <c r="J23" s="511"/>
      <c r="K23" s="250">
        <f t="shared" si="3"/>
        <v>0</v>
      </c>
      <c r="L23" s="249">
        <f t="shared" si="1"/>
        <v>0</v>
      </c>
      <c r="N23" s="198" t="s">
        <v>70</v>
      </c>
      <c r="O23" s="198" t="s">
        <v>279</v>
      </c>
      <c r="P23" s="31">
        <v>20</v>
      </c>
      <c r="Q23" s="31">
        <v>20</v>
      </c>
      <c r="R23" s="31">
        <v>0</v>
      </c>
      <c r="S23" s="31">
        <v>0</v>
      </c>
      <c r="T23" s="31">
        <v>0</v>
      </c>
      <c r="U23" s="31">
        <v>0</v>
      </c>
      <c r="V23" s="198" t="s">
        <v>280</v>
      </c>
      <c r="W23" s="198" t="s">
        <v>290</v>
      </c>
      <c r="X23" s="198" t="s">
        <v>426</v>
      </c>
      <c r="Y23" s="159" t="s">
        <v>365</v>
      </c>
    </row>
    <row r="24" spans="2:25" ht="15" customHeight="1" x14ac:dyDescent="0.25">
      <c r="B24" s="30">
        <v>15</v>
      </c>
      <c r="C24" s="508"/>
      <c r="D24" s="509"/>
      <c r="E24" s="150"/>
      <c r="F24" s="154" t="str">
        <f t="shared" si="0"/>
        <v xml:space="preserve"> </v>
      </c>
      <c r="G24" s="151">
        <v>0</v>
      </c>
      <c r="H24" s="154">
        <f t="shared" si="2"/>
        <v>0</v>
      </c>
      <c r="I24" s="510"/>
      <c r="J24" s="511"/>
      <c r="K24" s="250">
        <f t="shared" si="3"/>
        <v>0</v>
      </c>
      <c r="L24" s="249">
        <f t="shared" si="1"/>
        <v>0</v>
      </c>
      <c r="N24" s="198" t="s">
        <v>73</v>
      </c>
      <c r="O24" s="198" t="s">
        <v>279</v>
      </c>
      <c r="P24" s="31">
        <v>15</v>
      </c>
      <c r="Q24" s="31">
        <v>15</v>
      </c>
      <c r="R24" s="31">
        <v>0</v>
      </c>
      <c r="S24" s="31">
        <v>0</v>
      </c>
      <c r="T24" s="31">
        <v>0</v>
      </c>
      <c r="U24" s="31">
        <v>0</v>
      </c>
      <c r="V24" s="198" t="s">
        <v>280</v>
      </c>
      <c r="W24" s="198" t="s">
        <v>291</v>
      </c>
      <c r="X24" s="198" t="s">
        <v>425</v>
      </c>
      <c r="Y24" s="159" t="s">
        <v>365</v>
      </c>
    </row>
    <row r="25" spans="2:25" ht="15" customHeight="1" x14ac:dyDescent="0.25">
      <c r="B25" s="30">
        <v>16</v>
      </c>
      <c r="C25" s="508"/>
      <c r="D25" s="509"/>
      <c r="E25" s="150"/>
      <c r="F25" s="154" t="str">
        <f t="shared" si="0"/>
        <v xml:space="preserve"> </v>
      </c>
      <c r="G25" s="151">
        <v>0</v>
      </c>
      <c r="H25" s="154">
        <f t="shared" si="2"/>
        <v>0</v>
      </c>
      <c r="I25" s="510"/>
      <c r="J25" s="511"/>
      <c r="K25" s="250">
        <f t="shared" si="3"/>
        <v>0</v>
      </c>
      <c r="L25" s="249">
        <f t="shared" si="1"/>
        <v>0</v>
      </c>
      <c r="N25" s="198" t="s">
        <v>76</v>
      </c>
      <c r="O25" s="198" t="s">
        <v>279</v>
      </c>
      <c r="P25" s="31">
        <v>30</v>
      </c>
      <c r="Q25" s="31">
        <v>30</v>
      </c>
      <c r="R25" s="31">
        <v>0</v>
      </c>
      <c r="S25" s="31">
        <v>0</v>
      </c>
      <c r="T25" s="31">
        <v>0</v>
      </c>
      <c r="U25" s="31">
        <v>0</v>
      </c>
      <c r="V25" s="198" t="s">
        <v>280</v>
      </c>
      <c r="W25" s="198" t="s">
        <v>292</v>
      </c>
      <c r="X25" s="198" t="s">
        <v>427</v>
      </c>
      <c r="Y25" s="159" t="s">
        <v>365</v>
      </c>
    </row>
    <row r="26" spans="2:25" ht="15" customHeight="1" x14ac:dyDescent="0.25">
      <c r="B26" s="30">
        <v>17</v>
      </c>
      <c r="C26" s="508"/>
      <c r="D26" s="509"/>
      <c r="E26" s="150"/>
      <c r="F26" s="154" t="str">
        <f t="shared" si="0"/>
        <v xml:space="preserve"> </v>
      </c>
      <c r="G26" s="151">
        <v>0</v>
      </c>
      <c r="H26" s="154">
        <f t="shared" si="2"/>
        <v>0</v>
      </c>
      <c r="I26" s="510"/>
      <c r="J26" s="511"/>
      <c r="K26" s="250">
        <f t="shared" si="3"/>
        <v>0</v>
      </c>
      <c r="L26" s="249">
        <f t="shared" si="1"/>
        <v>0</v>
      </c>
      <c r="N26" s="198" t="s">
        <v>78</v>
      </c>
      <c r="O26" s="198" t="s">
        <v>279</v>
      </c>
      <c r="P26" s="31">
        <v>8</v>
      </c>
      <c r="Q26" s="31">
        <v>8</v>
      </c>
      <c r="R26" s="31">
        <v>0</v>
      </c>
      <c r="S26" s="31">
        <v>0</v>
      </c>
      <c r="T26" s="31">
        <v>0</v>
      </c>
      <c r="U26" s="31">
        <v>0</v>
      </c>
      <c r="V26" s="198" t="s">
        <v>280</v>
      </c>
      <c r="W26" s="198" t="s">
        <v>293</v>
      </c>
      <c r="X26" s="198" t="s">
        <v>423</v>
      </c>
      <c r="Y26" s="159" t="s">
        <v>365</v>
      </c>
    </row>
    <row r="27" spans="2:25" ht="15" customHeight="1" x14ac:dyDescent="0.25">
      <c r="B27" s="30">
        <v>18</v>
      </c>
      <c r="C27" s="508"/>
      <c r="D27" s="509"/>
      <c r="E27" s="150"/>
      <c r="F27" s="154" t="str">
        <f t="shared" si="0"/>
        <v xml:space="preserve"> </v>
      </c>
      <c r="G27" s="151">
        <v>0</v>
      </c>
      <c r="H27" s="154">
        <f t="shared" si="2"/>
        <v>0</v>
      </c>
      <c r="I27" s="510"/>
      <c r="J27" s="511"/>
      <c r="K27" s="250">
        <f t="shared" si="3"/>
        <v>0</v>
      </c>
      <c r="L27" s="249">
        <f t="shared" si="1"/>
        <v>0</v>
      </c>
      <c r="N27" s="198" t="s">
        <v>81</v>
      </c>
      <c r="O27" s="198" t="s">
        <v>279</v>
      </c>
      <c r="P27" s="31">
        <v>15</v>
      </c>
      <c r="Q27" s="31">
        <v>15</v>
      </c>
      <c r="R27" s="31">
        <v>0</v>
      </c>
      <c r="S27" s="31">
        <v>0</v>
      </c>
      <c r="T27" s="31">
        <v>0</v>
      </c>
      <c r="U27" s="31">
        <v>0</v>
      </c>
      <c r="V27" s="198" t="s">
        <v>280</v>
      </c>
      <c r="W27" s="198" t="s">
        <v>294</v>
      </c>
      <c r="X27" s="198" t="s">
        <v>423</v>
      </c>
      <c r="Y27" s="159" t="s">
        <v>365</v>
      </c>
    </row>
    <row r="28" spans="2:25" ht="15" customHeight="1" x14ac:dyDescent="0.25">
      <c r="B28" s="30">
        <v>19</v>
      </c>
      <c r="C28" s="508"/>
      <c r="D28" s="509"/>
      <c r="E28" s="150"/>
      <c r="F28" s="154" t="str">
        <f t="shared" si="0"/>
        <v xml:space="preserve"> </v>
      </c>
      <c r="G28" s="151">
        <v>0</v>
      </c>
      <c r="H28" s="154">
        <f t="shared" si="2"/>
        <v>0</v>
      </c>
      <c r="I28" s="510"/>
      <c r="J28" s="511"/>
      <c r="K28" s="250">
        <f t="shared" si="3"/>
        <v>0</v>
      </c>
      <c r="L28" s="249">
        <f t="shared" si="1"/>
        <v>0</v>
      </c>
      <c r="N28" s="198" t="s">
        <v>83</v>
      </c>
      <c r="O28" s="198" t="s">
        <v>295</v>
      </c>
      <c r="P28" s="31">
        <v>30</v>
      </c>
      <c r="Q28" s="31">
        <v>30</v>
      </c>
      <c r="R28" s="31">
        <v>0</v>
      </c>
      <c r="S28" s="31">
        <v>0</v>
      </c>
      <c r="T28" s="31">
        <v>0</v>
      </c>
      <c r="U28" s="31">
        <v>0</v>
      </c>
      <c r="V28" s="198" t="s">
        <v>296</v>
      </c>
      <c r="W28" s="198" t="s">
        <v>297</v>
      </c>
      <c r="X28" s="198" t="s">
        <v>428</v>
      </c>
      <c r="Y28" s="159" t="s">
        <v>365</v>
      </c>
    </row>
    <row r="29" spans="2:25" ht="15" customHeight="1" x14ac:dyDescent="0.25">
      <c r="B29" s="30">
        <v>20</v>
      </c>
      <c r="C29" s="508"/>
      <c r="D29" s="509"/>
      <c r="E29" s="150"/>
      <c r="F29" s="154" t="str">
        <f t="shared" si="0"/>
        <v xml:space="preserve"> </v>
      </c>
      <c r="G29" s="151">
        <v>0</v>
      </c>
      <c r="H29" s="154">
        <f t="shared" si="2"/>
        <v>0</v>
      </c>
      <c r="I29" s="510"/>
      <c r="J29" s="511"/>
      <c r="K29" s="250">
        <f t="shared" si="3"/>
        <v>0</v>
      </c>
      <c r="L29" s="249">
        <f t="shared" si="1"/>
        <v>0</v>
      </c>
      <c r="N29" s="198" t="s">
        <v>85</v>
      </c>
      <c r="O29" s="198" t="s">
        <v>295</v>
      </c>
      <c r="P29" s="31">
        <v>15</v>
      </c>
      <c r="Q29" s="31">
        <v>15</v>
      </c>
      <c r="R29" s="31">
        <v>0</v>
      </c>
      <c r="S29" s="31">
        <v>0</v>
      </c>
      <c r="T29" s="31">
        <v>0</v>
      </c>
      <c r="U29" s="31">
        <v>0</v>
      </c>
      <c r="V29" s="198" t="s">
        <v>296</v>
      </c>
      <c r="W29" s="198" t="s">
        <v>298</v>
      </c>
      <c r="X29" s="198" t="s">
        <v>429</v>
      </c>
      <c r="Y29" s="159" t="s">
        <v>365</v>
      </c>
    </row>
    <row r="30" spans="2:25" ht="15" customHeight="1" thickBot="1" x14ac:dyDescent="0.3">
      <c r="B30" s="32"/>
      <c r="C30" s="512"/>
      <c r="D30" s="513"/>
      <c r="E30" s="191"/>
      <c r="F30" s="154" t="str">
        <f t="shared" si="0"/>
        <v xml:space="preserve"> </v>
      </c>
      <c r="G30" s="152">
        <v>0</v>
      </c>
      <c r="H30" s="154">
        <f t="shared" si="2"/>
        <v>0</v>
      </c>
      <c r="I30" s="514"/>
      <c r="J30" s="515"/>
      <c r="K30" s="250">
        <f t="shared" si="3"/>
        <v>0</v>
      </c>
      <c r="L30" s="249">
        <f t="shared" si="1"/>
        <v>0</v>
      </c>
      <c r="N30" s="198" t="s">
        <v>87</v>
      </c>
      <c r="O30" s="198" t="s">
        <v>295</v>
      </c>
      <c r="P30" s="31">
        <v>10</v>
      </c>
      <c r="Q30" s="31">
        <v>10</v>
      </c>
      <c r="R30" s="31">
        <v>0</v>
      </c>
      <c r="S30" s="31">
        <v>0</v>
      </c>
      <c r="T30" s="31">
        <v>0</v>
      </c>
      <c r="U30" s="31">
        <v>0</v>
      </c>
      <c r="V30" s="198" t="s">
        <v>296</v>
      </c>
      <c r="W30" s="198" t="s">
        <v>299</v>
      </c>
      <c r="X30" s="198" t="s">
        <v>430</v>
      </c>
      <c r="Y30" s="159" t="s">
        <v>365</v>
      </c>
    </row>
    <row r="31" spans="2:25" ht="15" customHeight="1" thickBot="1" x14ac:dyDescent="0.3">
      <c r="B31" s="161" t="s">
        <v>343</v>
      </c>
      <c r="C31" s="162" t="s">
        <v>345</v>
      </c>
      <c r="D31" s="162"/>
      <c r="E31" s="162"/>
      <c r="F31" s="162"/>
      <c r="G31" s="163">
        <f>SUM(G10:G30)</f>
        <v>9</v>
      </c>
      <c r="H31" s="239">
        <f>SUM(H10:H30)+H8</f>
        <v>0</v>
      </c>
      <c r="I31" s="496" t="e">
        <f>Presupuesto!#REF!</f>
        <v>#REF!</v>
      </c>
      <c r="J31" s="497"/>
      <c r="K31" s="250"/>
      <c r="L31" s="249"/>
      <c r="N31" s="198" t="s">
        <v>91</v>
      </c>
      <c r="O31" s="198" t="s">
        <v>295</v>
      </c>
      <c r="P31" s="31">
        <v>5</v>
      </c>
      <c r="Q31" s="31">
        <v>0</v>
      </c>
      <c r="R31" s="31">
        <v>0</v>
      </c>
      <c r="S31" s="31">
        <v>0</v>
      </c>
      <c r="T31" s="31">
        <v>0</v>
      </c>
      <c r="U31" s="31">
        <v>0</v>
      </c>
      <c r="V31" s="198" t="s">
        <v>296</v>
      </c>
      <c r="W31" s="198" t="s">
        <v>300</v>
      </c>
      <c r="X31" s="198" t="s">
        <v>431</v>
      </c>
      <c r="Y31" s="159" t="s">
        <v>365</v>
      </c>
    </row>
    <row r="32" spans="2:25" ht="15" customHeight="1" x14ac:dyDescent="0.25">
      <c r="K32" s="250"/>
      <c r="L32" s="249"/>
      <c r="N32" s="198" t="s">
        <v>508</v>
      </c>
      <c r="O32" s="198" t="s">
        <v>295</v>
      </c>
      <c r="P32" s="31">
        <v>10</v>
      </c>
      <c r="Q32" s="31">
        <v>10</v>
      </c>
      <c r="R32" s="31">
        <v>0</v>
      </c>
      <c r="S32" s="31">
        <v>0</v>
      </c>
      <c r="T32" s="31">
        <v>0</v>
      </c>
      <c r="U32" s="31">
        <v>0</v>
      </c>
      <c r="V32" s="198" t="s">
        <v>296</v>
      </c>
      <c r="W32" s="198" t="s">
        <v>507</v>
      </c>
      <c r="X32" s="198" t="s">
        <v>514</v>
      </c>
      <c r="Y32" s="159" t="s">
        <v>365</v>
      </c>
    </row>
    <row r="33" spans="2:26" ht="15" customHeight="1" x14ac:dyDescent="0.25">
      <c r="N33" s="198" t="s">
        <v>524</v>
      </c>
      <c r="O33" s="198" t="s">
        <v>295</v>
      </c>
      <c r="P33" s="31" t="s">
        <v>515</v>
      </c>
      <c r="Q33" s="31">
        <v>20</v>
      </c>
      <c r="R33" s="31">
        <v>0</v>
      </c>
      <c r="S33" s="31">
        <v>0</v>
      </c>
      <c r="T33" s="31">
        <v>0</v>
      </c>
      <c r="U33" s="31">
        <v>0</v>
      </c>
      <c r="V33" s="198" t="s">
        <v>296</v>
      </c>
      <c r="W33" s="198" t="s">
        <v>525</v>
      </c>
      <c r="X33" s="198" t="s">
        <v>514</v>
      </c>
      <c r="Y33" s="159" t="s">
        <v>365</v>
      </c>
    </row>
    <row r="34" spans="2:26" ht="15" customHeight="1" thickBot="1" x14ac:dyDescent="0.3">
      <c r="N34" s="198" t="s">
        <v>93</v>
      </c>
      <c r="O34" s="198" t="s">
        <v>295</v>
      </c>
      <c r="P34" s="31" t="s">
        <v>515</v>
      </c>
      <c r="Q34" s="31">
        <v>10</v>
      </c>
      <c r="R34" s="31">
        <v>0</v>
      </c>
      <c r="S34" s="31">
        <v>0</v>
      </c>
      <c r="T34" s="31">
        <v>0</v>
      </c>
      <c r="U34" s="31">
        <v>0</v>
      </c>
      <c r="V34" s="198" t="s">
        <v>296</v>
      </c>
      <c r="W34" s="198" t="s">
        <v>301</v>
      </c>
      <c r="X34" s="198" t="s">
        <v>432</v>
      </c>
      <c r="Y34" s="159" t="s">
        <v>365</v>
      </c>
    </row>
    <row r="35" spans="2:26" ht="15" customHeight="1" thickBot="1" x14ac:dyDescent="0.3">
      <c r="B35" s="171" t="s">
        <v>446</v>
      </c>
      <c r="C35" s="167" t="s">
        <v>445</v>
      </c>
      <c r="D35" s="167" t="s">
        <v>277</v>
      </c>
      <c r="E35" s="167"/>
      <c r="F35" s="167"/>
      <c r="G35" s="167"/>
      <c r="H35" s="168" t="s">
        <v>261</v>
      </c>
      <c r="N35" s="198" t="s">
        <v>96</v>
      </c>
      <c r="O35" s="198" t="s">
        <v>295</v>
      </c>
      <c r="P35" s="31" t="s">
        <v>515</v>
      </c>
      <c r="Q35" s="31">
        <v>5</v>
      </c>
      <c r="R35" s="31">
        <v>0</v>
      </c>
      <c r="S35" s="31">
        <v>0</v>
      </c>
      <c r="T35" s="31">
        <v>0</v>
      </c>
      <c r="U35" s="31">
        <v>0</v>
      </c>
      <c r="V35" s="198" t="s">
        <v>296</v>
      </c>
      <c r="W35" s="198" t="s">
        <v>302</v>
      </c>
      <c r="X35" s="198" t="s">
        <v>433</v>
      </c>
      <c r="Y35" s="159" t="s">
        <v>365</v>
      </c>
    </row>
    <row r="36" spans="2:26" ht="15" customHeight="1" thickTop="1" x14ac:dyDescent="0.25">
      <c r="B36" s="172">
        <v>1</v>
      </c>
      <c r="C36" s="166" t="s">
        <v>279</v>
      </c>
      <c r="D36" s="166" t="s">
        <v>280</v>
      </c>
      <c r="E36" s="166"/>
      <c r="F36" s="166"/>
      <c r="G36" s="166"/>
      <c r="H36" s="169">
        <f>COUNTIF($L$10:$L$30,C36)</f>
        <v>0</v>
      </c>
      <c r="N36" s="198" t="s">
        <v>98</v>
      </c>
      <c r="O36" s="198" t="s">
        <v>303</v>
      </c>
      <c r="P36" s="31">
        <v>8</v>
      </c>
      <c r="Q36" s="31">
        <v>8</v>
      </c>
      <c r="R36" s="31">
        <v>8</v>
      </c>
      <c r="S36" s="31">
        <v>0</v>
      </c>
      <c r="T36" s="31">
        <v>0</v>
      </c>
      <c r="U36" s="31">
        <v>0</v>
      </c>
      <c r="V36" s="198" t="s">
        <v>304</v>
      </c>
      <c r="W36" s="198" t="s">
        <v>305</v>
      </c>
      <c r="X36" s="198" t="s">
        <v>434</v>
      </c>
      <c r="Y36" s="159" t="s">
        <v>365</v>
      </c>
    </row>
    <row r="37" spans="2:26" ht="15" customHeight="1" x14ac:dyDescent="0.25">
      <c r="B37" s="173">
        <v>2</v>
      </c>
      <c r="C37" s="164" t="s">
        <v>295</v>
      </c>
      <c r="D37" s="164" t="s">
        <v>296</v>
      </c>
      <c r="E37" s="164"/>
      <c r="F37" s="164"/>
      <c r="G37" s="164"/>
      <c r="H37" s="169">
        <f>COUNTIF($L$10:$L$30,C37)</f>
        <v>0</v>
      </c>
      <c r="N37" s="198" t="s">
        <v>102</v>
      </c>
      <c r="O37" s="198" t="s">
        <v>303</v>
      </c>
      <c r="P37" s="31">
        <v>6</v>
      </c>
      <c r="Q37" s="31">
        <v>6</v>
      </c>
      <c r="R37" s="31">
        <v>6</v>
      </c>
      <c r="S37" s="31">
        <v>0</v>
      </c>
      <c r="T37" s="31">
        <v>0</v>
      </c>
      <c r="U37" s="31">
        <v>0</v>
      </c>
      <c r="V37" s="198" t="s">
        <v>304</v>
      </c>
      <c r="W37" s="198" t="s">
        <v>306</v>
      </c>
      <c r="X37" s="198" t="s">
        <v>434</v>
      </c>
      <c r="Y37" s="159" t="s">
        <v>365</v>
      </c>
    </row>
    <row r="38" spans="2:26" ht="15" customHeight="1" x14ac:dyDescent="0.25">
      <c r="B38" s="173">
        <v>3</v>
      </c>
      <c r="C38" s="164" t="s">
        <v>303</v>
      </c>
      <c r="D38" s="164" t="s">
        <v>304</v>
      </c>
      <c r="E38" s="164"/>
      <c r="F38" s="164"/>
      <c r="G38" s="164"/>
      <c r="H38" s="169">
        <f>COUNTIF($L$10:$L$30,C38)</f>
        <v>0</v>
      </c>
      <c r="N38" s="198" t="s">
        <v>103</v>
      </c>
      <c r="O38" s="198" t="s">
        <v>303</v>
      </c>
      <c r="P38" s="31">
        <v>4</v>
      </c>
      <c r="Q38" s="31">
        <v>0</v>
      </c>
      <c r="R38" s="31">
        <v>4</v>
      </c>
      <c r="S38" s="31">
        <v>0</v>
      </c>
      <c r="T38" s="31">
        <v>0</v>
      </c>
      <c r="U38" s="31">
        <v>0</v>
      </c>
      <c r="V38" s="198" t="s">
        <v>304</v>
      </c>
      <c r="W38" s="198" t="s">
        <v>469</v>
      </c>
      <c r="X38" s="198" t="s">
        <v>434</v>
      </c>
      <c r="Y38" s="159" t="s">
        <v>365</v>
      </c>
    </row>
    <row r="39" spans="2:26" ht="15" customHeight="1" x14ac:dyDescent="0.25">
      <c r="B39" s="173">
        <v>4</v>
      </c>
      <c r="C39" s="164" t="s">
        <v>314</v>
      </c>
      <c r="D39" s="164" t="s">
        <v>315</v>
      </c>
      <c r="E39" s="164"/>
      <c r="F39" s="164"/>
      <c r="G39" s="164"/>
      <c r="H39" s="169">
        <f>COUNTIF($L$10:$L$30,C39)</f>
        <v>0</v>
      </c>
      <c r="N39" s="198" t="s">
        <v>109</v>
      </c>
      <c r="O39" s="198" t="s">
        <v>303</v>
      </c>
      <c r="P39" s="31">
        <v>8</v>
      </c>
      <c r="Q39" s="31">
        <v>8</v>
      </c>
      <c r="R39" s="31">
        <v>0</v>
      </c>
      <c r="S39" s="31">
        <v>0</v>
      </c>
      <c r="T39" s="31">
        <v>0</v>
      </c>
      <c r="U39" s="31">
        <v>0</v>
      </c>
      <c r="V39" s="198" t="s">
        <v>304</v>
      </c>
      <c r="W39" s="198" t="s">
        <v>308</v>
      </c>
      <c r="X39" s="198" t="s">
        <v>436</v>
      </c>
      <c r="Y39" s="159" t="s">
        <v>365</v>
      </c>
    </row>
    <row r="40" spans="2:26" ht="15" customHeight="1" thickBot="1" x14ac:dyDescent="0.3">
      <c r="B40" s="174"/>
      <c r="C40" s="165"/>
      <c r="D40" s="165"/>
      <c r="E40" s="165"/>
      <c r="F40" s="165"/>
      <c r="G40" s="165"/>
      <c r="H40" s="170">
        <f>SUM(H36:H39)</f>
        <v>0</v>
      </c>
      <c r="N40" s="198" t="s">
        <v>111</v>
      </c>
      <c r="O40" s="198" t="s">
        <v>303</v>
      </c>
      <c r="P40" s="31">
        <v>4</v>
      </c>
      <c r="Q40" s="31">
        <v>4</v>
      </c>
      <c r="R40" s="31">
        <v>0</v>
      </c>
      <c r="S40" s="31">
        <v>0</v>
      </c>
      <c r="T40" s="31">
        <v>0</v>
      </c>
      <c r="U40" s="31">
        <v>0</v>
      </c>
      <c r="V40" s="198" t="s">
        <v>304</v>
      </c>
      <c r="W40" s="198" t="s">
        <v>310</v>
      </c>
      <c r="X40" s="198" t="s">
        <v>436</v>
      </c>
      <c r="Y40" s="159" t="s">
        <v>365</v>
      </c>
    </row>
    <row r="41" spans="2:26" ht="15" customHeight="1" x14ac:dyDescent="0.25">
      <c r="N41" s="198" t="s">
        <v>526</v>
      </c>
      <c r="O41" s="198" t="s">
        <v>303</v>
      </c>
      <c r="P41" s="31">
        <v>2</v>
      </c>
      <c r="Q41" s="31">
        <v>0</v>
      </c>
      <c r="R41" s="31">
        <v>0</v>
      </c>
      <c r="S41" s="31">
        <v>0</v>
      </c>
      <c r="T41" s="31">
        <v>0</v>
      </c>
      <c r="U41" s="31">
        <v>0</v>
      </c>
      <c r="V41" s="198" t="s">
        <v>304</v>
      </c>
      <c r="W41" s="198" t="s">
        <v>311</v>
      </c>
      <c r="X41" s="198" t="s">
        <v>435</v>
      </c>
      <c r="Y41" s="159" t="s">
        <v>365</v>
      </c>
    </row>
    <row r="42" spans="2:26" ht="15" customHeight="1" x14ac:dyDescent="0.25">
      <c r="N42" s="198" t="s">
        <v>113</v>
      </c>
      <c r="O42" s="198" t="s">
        <v>303</v>
      </c>
      <c r="P42" s="31">
        <v>5</v>
      </c>
      <c r="Q42" s="31">
        <v>5</v>
      </c>
      <c r="R42" s="31">
        <v>0</v>
      </c>
      <c r="S42" s="31">
        <v>0</v>
      </c>
      <c r="T42" s="31">
        <v>0</v>
      </c>
      <c r="U42" s="31">
        <v>0</v>
      </c>
      <c r="V42" s="198" t="s">
        <v>304</v>
      </c>
      <c r="W42" s="198" t="s">
        <v>312</v>
      </c>
      <c r="X42" s="198" t="s">
        <v>424</v>
      </c>
      <c r="Y42" s="159" t="s">
        <v>365</v>
      </c>
    </row>
    <row r="43" spans="2:26" ht="15" customHeight="1" x14ac:dyDescent="0.25">
      <c r="N43" s="198" t="s">
        <v>114</v>
      </c>
      <c r="O43" s="198" t="s">
        <v>303</v>
      </c>
      <c r="P43" s="31">
        <v>2.5</v>
      </c>
      <c r="Q43" s="31">
        <v>2.5</v>
      </c>
      <c r="R43" s="31">
        <v>0</v>
      </c>
      <c r="S43" s="31">
        <v>0</v>
      </c>
      <c r="T43" s="31">
        <v>0</v>
      </c>
      <c r="U43" s="31">
        <v>0</v>
      </c>
      <c r="V43" s="198" t="s">
        <v>304</v>
      </c>
      <c r="W43" s="198" t="s">
        <v>313</v>
      </c>
      <c r="X43" s="198" t="s">
        <v>424</v>
      </c>
      <c r="Y43" s="159" t="s">
        <v>365</v>
      </c>
    </row>
    <row r="44" spans="2:26" x14ac:dyDescent="0.25">
      <c r="N44" s="198" t="s">
        <v>107</v>
      </c>
      <c r="O44" s="198" t="s">
        <v>303</v>
      </c>
      <c r="P44" s="31">
        <v>2.5</v>
      </c>
      <c r="Q44" s="31">
        <v>0</v>
      </c>
      <c r="R44" s="31">
        <v>0</v>
      </c>
      <c r="S44" s="31">
        <v>0</v>
      </c>
      <c r="T44" s="31">
        <v>0</v>
      </c>
      <c r="U44" s="31">
        <v>0</v>
      </c>
      <c r="V44" s="198" t="s">
        <v>304</v>
      </c>
      <c r="W44" s="198" t="s">
        <v>307</v>
      </c>
      <c r="X44" s="198" t="s">
        <v>422</v>
      </c>
      <c r="Y44" s="159" t="s">
        <v>365</v>
      </c>
    </row>
    <row r="45" spans="2:26" x14ac:dyDescent="0.25">
      <c r="N45" s="198" t="s">
        <v>119</v>
      </c>
      <c r="O45" s="198" t="s">
        <v>314</v>
      </c>
      <c r="P45" s="31">
        <v>12</v>
      </c>
      <c r="Q45" s="31">
        <v>12</v>
      </c>
      <c r="R45" s="31">
        <v>0</v>
      </c>
      <c r="S45" s="31">
        <v>0</v>
      </c>
      <c r="T45" s="31">
        <v>0</v>
      </c>
      <c r="U45" s="31">
        <v>0</v>
      </c>
      <c r="V45" s="198" t="s">
        <v>315</v>
      </c>
      <c r="W45" s="198" t="s">
        <v>316</v>
      </c>
      <c r="X45" s="198" t="s">
        <v>437</v>
      </c>
      <c r="Y45" s="159" t="s">
        <v>365</v>
      </c>
    </row>
    <row r="46" spans="2:26" x14ac:dyDescent="0.25">
      <c r="N46" s="198" t="s">
        <v>117</v>
      </c>
      <c r="O46" s="198" t="s">
        <v>314</v>
      </c>
      <c r="P46" s="31">
        <v>6</v>
      </c>
      <c r="Q46" s="31">
        <v>6</v>
      </c>
      <c r="R46" s="31">
        <v>0</v>
      </c>
      <c r="S46" s="31">
        <v>0</v>
      </c>
      <c r="T46" s="31">
        <v>0</v>
      </c>
      <c r="U46" s="31">
        <v>0</v>
      </c>
      <c r="V46" s="198" t="s">
        <v>315</v>
      </c>
      <c r="W46" s="198" t="s">
        <v>317</v>
      </c>
      <c r="X46" s="198" t="s">
        <v>438</v>
      </c>
      <c r="Y46" s="159" t="s">
        <v>365</v>
      </c>
      <c r="Z46" s="2" t="s">
        <v>439</v>
      </c>
    </row>
    <row r="47" spans="2:26" x14ac:dyDescent="0.25">
      <c r="N47" s="198" t="s">
        <v>120</v>
      </c>
      <c r="O47" s="198" t="s">
        <v>314</v>
      </c>
      <c r="P47" s="31">
        <v>0</v>
      </c>
      <c r="Q47" s="31">
        <v>0</v>
      </c>
      <c r="R47" s="31">
        <v>1</v>
      </c>
      <c r="S47" s="31">
        <v>0</v>
      </c>
      <c r="T47" s="31">
        <v>0</v>
      </c>
      <c r="U47" s="31">
        <v>0</v>
      </c>
      <c r="V47" s="198" t="s">
        <v>315</v>
      </c>
      <c r="W47" s="198" t="s">
        <v>318</v>
      </c>
      <c r="X47" s="198" t="s">
        <v>645</v>
      </c>
      <c r="Y47" s="159" t="s">
        <v>365</v>
      </c>
      <c r="Z47" s="2" t="s">
        <v>642</v>
      </c>
    </row>
    <row r="48" spans="2:26" x14ac:dyDescent="0.25">
      <c r="N48" s="198" t="s">
        <v>122</v>
      </c>
      <c r="O48" s="198" t="s">
        <v>314</v>
      </c>
      <c r="P48" s="31">
        <v>0</v>
      </c>
      <c r="Q48" s="31">
        <v>0</v>
      </c>
      <c r="R48" s="31">
        <v>1</v>
      </c>
      <c r="S48" s="31">
        <v>0</v>
      </c>
      <c r="T48" s="31">
        <v>0</v>
      </c>
      <c r="U48" s="31">
        <v>0</v>
      </c>
      <c r="V48" s="198" t="s">
        <v>315</v>
      </c>
      <c r="W48" s="198" t="s">
        <v>319</v>
      </c>
      <c r="X48" s="198" t="s">
        <v>642</v>
      </c>
      <c r="Y48" s="159" t="s">
        <v>365</v>
      </c>
    </row>
    <row r="49" spans="14:25" x14ac:dyDescent="0.25">
      <c r="N49" s="198" t="s">
        <v>123</v>
      </c>
      <c r="O49" s="198" t="s">
        <v>314</v>
      </c>
      <c r="P49" s="31">
        <v>0</v>
      </c>
      <c r="Q49" s="31">
        <v>0</v>
      </c>
      <c r="R49" s="31">
        <v>2</v>
      </c>
      <c r="S49" s="31">
        <v>0</v>
      </c>
      <c r="T49" s="31">
        <v>0</v>
      </c>
      <c r="U49" s="31">
        <v>0</v>
      </c>
      <c r="V49" s="198" t="s">
        <v>280</v>
      </c>
      <c r="W49" s="198" t="s">
        <v>320</v>
      </c>
      <c r="X49" s="198" t="s">
        <v>60</v>
      </c>
      <c r="Y49" s="159" t="s">
        <v>365</v>
      </c>
    </row>
    <row r="50" spans="14:25" x14ac:dyDescent="0.25"/>
    <row r="51" spans="14:25" x14ac:dyDescent="0.25"/>
    <row r="52" spans="14:25" x14ac:dyDescent="0.25"/>
    <row r="53" spans="14:25" x14ac:dyDescent="0.25"/>
    <row r="54" spans="14:25" x14ac:dyDescent="0.25"/>
    <row r="55" spans="14:25" x14ac:dyDescent="0.25"/>
    <row r="56" spans="14:25" x14ac:dyDescent="0.25"/>
    <row r="57" spans="14:25" x14ac:dyDescent="0.25"/>
    <row r="58" spans="14:25" x14ac:dyDescent="0.25"/>
    <row r="59" spans="14:25" x14ac:dyDescent="0.25"/>
    <row r="60" spans="14:25" x14ac:dyDescent="0.25"/>
    <row r="61" spans="14:25" hidden="1" x14ac:dyDescent="0.25"/>
    <row r="62" spans="14:25" hidden="1" x14ac:dyDescent="0.25"/>
    <row r="63" spans="14:25" hidden="1" x14ac:dyDescent="0.25"/>
    <row r="64" spans="14:25"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sheetData>
  <sheetProtection algorithmName="SHA-512" hashValue="aM6J2UEmMCnHb/VBLHIL1JV9mlpY+OelJDcRxYOCDeVozvW5rK6oyW9qr4isxBezS9jrmNcU0It6+TW4i+WgFA==" saltValue="mcU4qyrMtnvWqZYXTVBrlQ==" spinCount="100000" sheet="1" objects="1" scenarios="1" formatCells="0" formatColumns="0" formatRows="0" selectLockedCells="1" autoFilter="0"/>
  <mergeCells count="51">
    <mergeCell ref="C25:D25"/>
    <mergeCell ref="I25:J25"/>
    <mergeCell ref="C29:D29"/>
    <mergeCell ref="I29:J29"/>
    <mergeCell ref="C30:D30"/>
    <mergeCell ref="I30:J30"/>
    <mergeCell ref="C26:D26"/>
    <mergeCell ref="I26:J26"/>
    <mergeCell ref="C27:D27"/>
    <mergeCell ref="I27:J27"/>
    <mergeCell ref="C28:D28"/>
    <mergeCell ref="I28:J28"/>
    <mergeCell ref="C22:D22"/>
    <mergeCell ref="I22:J22"/>
    <mergeCell ref="C23:D23"/>
    <mergeCell ref="I23:J23"/>
    <mergeCell ref="C24:D24"/>
    <mergeCell ref="I24:J24"/>
    <mergeCell ref="C19:D19"/>
    <mergeCell ref="I19:J19"/>
    <mergeCell ref="C20:D20"/>
    <mergeCell ref="I20:J20"/>
    <mergeCell ref="C21:D21"/>
    <mergeCell ref="I21:J21"/>
    <mergeCell ref="C16:D16"/>
    <mergeCell ref="I16:J16"/>
    <mergeCell ref="C17:D17"/>
    <mergeCell ref="I17:J17"/>
    <mergeCell ref="C18:D18"/>
    <mergeCell ref="I18:J18"/>
    <mergeCell ref="I13:J13"/>
    <mergeCell ref="C14:D14"/>
    <mergeCell ref="I14:J14"/>
    <mergeCell ref="C15:D15"/>
    <mergeCell ref="I15:J15"/>
    <mergeCell ref="G4:H4"/>
    <mergeCell ref="G5:H5"/>
    <mergeCell ref="B4:F5"/>
    <mergeCell ref="I31:J31"/>
    <mergeCell ref="P8:U8"/>
    <mergeCell ref="I4:J4"/>
    <mergeCell ref="I5:J5"/>
    <mergeCell ref="C9:D9"/>
    <mergeCell ref="I9:J9"/>
    <mergeCell ref="C10:D10"/>
    <mergeCell ref="I10:J10"/>
    <mergeCell ref="C11:D11"/>
    <mergeCell ref="I11:J11"/>
    <mergeCell ref="C12:D12"/>
    <mergeCell ref="I12:J12"/>
    <mergeCell ref="C13:D13"/>
  </mergeCells>
  <dataValidations xWindow="123" yWindow="421" count="2">
    <dataValidation type="list" allowBlank="1" showInputMessage="1" showErrorMessage="1" promptTitle="Tenga en cuenta convoctaria" prompt="No todos los productos estan habilitados, estos dependen de los terminos de referencia de la convocatoria." sqref="C10:C29 D10 D22:D29">
      <formula1>List_prod</formula1>
    </dataValidation>
    <dataValidation type="whole" allowBlank="1" showInputMessage="1" showErrorMessage="1" sqref="G10:G30">
      <formula1>0</formula1>
      <formula2>100</formula2>
    </dataValidation>
  </dataValidations>
  <printOptions horizontalCentered="1"/>
  <pageMargins left="0.70866141732283472" right="0.70866141732283472" top="0.74803149606299213" bottom="0.74803149606299213" header="0.31496062992125984" footer="0.31496062992125984"/>
  <pageSetup scale="58"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tabColor theme="8" tint="0.39997558519241921"/>
  </sheetPr>
  <dimension ref="A1:V42"/>
  <sheetViews>
    <sheetView showGridLines="0" view="pageBreakPreview" zoomScale="85" zoomScaleNormal="85" zoomScaleSheetLayoutView="85" workbookViewId="0">
      <selection activeCell="I2" sqref="I2"/>
    </sheetView>
  </sheetViews>
  <sheetFormatPr baseColWidth="10" defaultColWidth="0" defaultRowHeight="15" x14ac:dyDescent="0.25"/>
  <cols>
    <col min="1" max="1" width="3" style="3" customWidth="1"/>
    <col min="2" max="2" width="4.28515625" style="3" customWidth="1"/>
    <col min="3" max="3" width="17.85546875" style="3" customWidth="1"/>
    <col min="4" max="4" width="16.85546875" style="3" customWidth="1"/>
    <col min="5" max="5" width="13.7109375" style="3" customWidth="1"/>
    <col min="6" max="6" width="14.42578125" style="3" customWidth="1"/>
    <col min="7" max="7" width="20.7109375" style="3" customWidth="1"/>
    <col min="8" max="9" width="8.7109375" style="3" customWidth="1"/>
    <col min="10" max="10" width="4.5703125" style="3" customWidth="1"/>
    <col min="11" max="11" width="9.5703125" style="3" customWidth="1"/>
    <col min="12" max="12" width="18.28515625" style="3" bestFit="1" customWidth="1"/>
    <col min="13" max="13" width="4.5703125" style="3" customWidth="1"/>
    <col min="14" max="14" width="18.28515625" style="3" bestFit="1" customWidth="1"/>
    <col min="15" max="15" width="11.140625" style="3" customWidth="1"/>
    <col min="16" max="21" width="11.42578125" style="3" customWidth="1"/>
    <col min="22" max="16384" width="11.42578125" style="3" hidden="1"/>
  </cols>
  <sheetData>
    <row r="1" spans="1:22" ht="25.5" customHeight="1" x14ac:dyDescent="0.25">
      <c r="O1" s="177"/>
      <c r="P1" s="177"/>
    </row>
    <row r="2" spans="1:22" ht="87.75" customHeight="1" thickBot="1" x14ac:dyDescent="0.3">
      <c r="K2" s="177"/>
      <c r="L2" s="177"/>
      <c r="M2" s="177"/>
      <c r="N2" s="177"/>
      <c r="O2" s="177"/>
      <c r="P2" s="177"/>
      <c r="Q2" s="176"/>
      <c r="R2" s="176"/>
      <c r="S2" s="176"/>
      <c r="T2" s="176"/>
      <c r="U2" s="176"/>
    </row>
    <row r="3" spans="1:22" ht="19.5" hidden="1" customHeight="1" thickBot="1" x14ac:dyDescent="0.3">
      <c r="K3" s="177"/>
      <c r="L3" s="177"/>
      <c r="M3" s="177"/>
      <c r="N3" s="177"/>
      <c r="O3" s="177"/>
      <c r="P3" s="177"/>
      <c r="Q3" s="176"/>
      <c r="R3" s="176"/>
      <c r="S3" s="176"/>
      <c r="T3" s="176"/>
      <c r="U3" s="176"/>
    </row>
    <row r="4" spans="1:22" ht="32.25" customHeight="1" thickBot="1" x14ac:dyDescent="0.3">
      <c r="B4" s="358" t="str">
        <f>Datos_Generales!B3</f>
        <v>PRESENTACIÓN DE PROYECTOS 
DE INICIACIÓN CIENTIFÍCA 2018 - 2</v>
      </c>
      <c r="C4" s="359"/>
      <c r="D4" s="359"/>
      <c r="E4" s="359"/>
      <c r="F4" s="359"/>
      <c r="G4" s="359"/>
      <c r="H4" s="359"/>
      <c r="I4" s="360"/>
      <c r="K4" s="177"/>
      <c r="L4" s="177"/>
      <c r="M4" s="177"/>
      <c r="N4" s="177"/>
      <c r="O4" s="177"/>
      <c r="P4" s="177"/>
      <c r="Q4" s="176"/>
      <c r="R4" s="176"/>
      <c r="S4" s="176"/>
      <c r="T4" s="176"/>
      <c r="V4" s="87"/>
    </row>
    <row r="5" spans="1:22" ht="15.75" thickBot="1" x14ac:dyDescent="0.3">
      <c r="B5" s="361"/>
      <c r="C5" s="362"/>
      <c r="D5" s="362"/>
      <c r="E5" s="362"/>
      <c r="F5" s="362"/>
      <c r="G5" s="362"/>
      <c r="H5" s="362"/>
      <c r="I5" s="363"/>
      <c r="K5" s="177"/>
      <c r="L5" s="177"/>
      <c r="M5" s="177"/>
      <c r="N5" s="177"/>
      <c r="O5" s="177"/>
      <c r="P5" s="177"/>
      <c r="Q5" s="176"/>
      <c r="R5" s="176"/>
      <c r="S5" s="176"/>
      <c r="T5" s="176"/>
      <c r="V5" s="87"/>
    </row>
    <row r="6" spans="1:22" x14ac:dyDescent="0.25">
      <c r="O6" s="177"/>
      <c r="P6" s="177"/>
      <c r="Q6" s="176"/>
      <c r="R6" s="176"/>
      <c r="S6" s="176"/>
      <c r="T6" s="176"/>
      <c r="U6" s="176"/>
    </row>
    <row r="7" spans="1:22" x14ac:dyDescent="0.25">
      <c r="B7" s="7" t="s">
        <v>487</v>
      </c>
      <c r="C7" s="8" t="s">
        <v>264</v>
      </c>
      <c r="D7" s="9"/>
      <c r="E7" s="9"/>
      <c r="F7" s="9"/>
      <c r="G7" s="15" t="str">
        <f>"FunProy_"&amp;I7</f>
        <v>FunProy_PIC</v>
      </c>
      <c r="H7" s="15" t="str">
        <f>"FunProy_"&amp;J7</f>
        <v>FunProy_</v>
      </c>
      <c r="I7" s="18" t="str">
        <f>IFERROR(VLOOKUP(Elec_Conv,Opciones!$K$1:$L$7,2,0),"NA")</f>
        <v>PIC</v>
      </c>
      <c r="M7" s="58"/>
      <c r="N7" s="58"/>
      <c r="O7" s="177"/>
      <c r="P7" s="177"/>
      <c r="Q7" s="176"/>
      <c r="R7" s="176"/>
      <c r="S7" s="176"/>
      <c r="T7" s="176"/>
      <c r="U7" s="176"/>
    </row>
    <row r="8" spans="1:22" x14ac:dyDescent="0.25">
      <c r="H8" s="326">
        <v>5</v>
      </c>
      <c r="I8" s="284"/>
      <c r="M8" s="236"/>
      <c r="N8" s="236"/>
      <c r="O8" s="177"/>
      <c r="P8" s="177"/>
      <c r="Q8" s="176"/>
      <c r="R8" s="176"/>
      <c r="S8" s="176"/>
      <c r="T8" s="176"/>
      <c r="U8" s="176"/>
    </row>
    <row r="9" spans="1:22" ht="29.25" customHeight="1" x14ac:dyDescent="0.25">
      <c r="B9" s="193" t="s">
        <v>261</v>
      </c>
      <c r="C9" s="194" t="s">
        <v>265</v>
      </c>
      <c r="D9" s="516" t="s">
        <v>266</v>
      </c>
      <c r="E9" s="517"/>
      <c r="F9" s="516" t="s">
        <v>267</v>
      </c>
      <c r="G9" s="517"/>
      <c r="H9" s="194" t="s">
        <v>268</v>
      </c>
      <c r="I9" s="195" t="s">
        <v>269</v>
      </c>
      <c r="M9" s="236" t="s">
        <v>446</v>
      </c>
      <c r="N9" s="236" t="s">
        <v>812</v>
      </c>
      <c r="O9" s="177"/>
      <c r="P9" s="177"/>
      <c r="Q9" s="176"/>
      <c r="R9" s="176"/>
      <c r="S9" s="176"/>
      <c r="T9" s="176"/>
    </row>
    <row r="10" spans="1:22" ht="18.75" customHeight="1" x14ac:dyDescent="0.25">
      <c r="A10" s="225" t="str">
        <f>B9</f>
        <v>No</v>
      </c>
      <c r="B10" s="530">
        <v>1</v>
      </c>
      <c r="C10" s="316"/>
      <c r="D10" s="533"/>
      <c r="E10" s="534"/>
      <c r="F10" s="533"/>
      <c r="G10" s="534"/>
      <c r="H10" s="310">
        <v>5</v>
      </c>
      <c r="I10" s="208"/>
      <c r="M10" s="236">
        <v>1</v>
      </c>
      <c r="N10" s="3" t="s">
        <v>79</v>
      </c>
      <c r="O10" s="177">
        <f>COUNTIF($G$11:$G$31,N10)</f>
        <v>1</v>
      </c>
      <c r="P10" s="177"/>
      <c r="Q10" s="176"/>
      <c r="R10" s="176"/>
      <c r="S10" s="176"/>
      <c r="T10" s="176"/>
    </row>
    <row r="11" spans="1:22" ht="18.75" customHeight="1" x14ac:dyDescent="0.25">
      <c r="A11" s="225">
        <f>B10</f>
        <v>1</v>
      </c>
      <c r="B11" s="525"/>
      <c r="C11" s="317" t="s">
        <v>270</v>
      </c>
      <c r="D11" s="531"/>
      <c r="E11" s="535"/>
      <c r="F11" s="318" t="s">
        <v>271</v>
      </c>
      <c r="G11" s="319" t="s">
        <v>79</v>
      </c>
      <c r="H11" s="531"/>
      <c r="I11" s="532"/>
      <c r="M11" s="236">
        <v>2</v>
      </c>
      <c r="N11" s="3" t="s">
        <v>814</v>
      </c>
      <c r="O11" s="177">
        <f>COUNTIF($G$11:$G$31,N11)</f>
        <v>0</v>
      </c>
      <c r="P11" s="177"/>
      <c r="Q11" s="176"/>
      <c r="R11" s="176"/>
      <c r="S11" s="176"/>
      <c r="T11" s="176"/>
    </row>
    <row r="12" spans="1:22" ht="18.75" customHeight="1" x14ac:dyDescent="0.25">
      <c r="A12" s="225"/>
      <c r="B12" s="526"/>
      <c r="C12" s="314" t="s">
        <v>819</v>
      </c>
      <c r="D12" s="313"/>
      <c r="E12" s="527"/>
      <c r="F12" s="528"/>
      <c r="G12" s="528"/>
      <c r="H12" s="528"/>
      <c r="I12" s="529"/>
      <c r="M12" s="236">
        <v>3</v>
      </c>
      <c r="N12" s="3" t="s">
        <v>28</v>
      </c>
      <c r="O12" s="177">
        <f>COUNTIF($G$11:$G$31,N12)</f>
        <v>0</v>
      </c>
      <c r="P12" s="177"/>
      <c r="Q12" s="176"/>
      <c r="R12" s="176"/>
      <c r="S12" s="176"/>
      <c r="T12" s="176"/>
    </row>
    <row r="13" spans="1:22" ht="18.75" customHeight="1" x14ac:dyDescent="0.25">
      <c r="A13" s="225"/>
      <c r="B13" s="524">
        <v>2</v>
      </c>
      <c r="C13" s="316"/>
      <c r="D13" s="521"/>
      <c r="E13" s="522"/>
      <c r="F13" s="521"/>
      <c r="G13" s="522"/>
      <c r="H13" s="311">
        <f>$H$8</f>
        <v>5</v>
      </c>
      <c r="I13" s="312"/>
      <c r="P13" s="177"/>
      <c r="Q13" s="176"/>
      <c r="R13" s="176"/>
      <c r="S13" s="176"/>
      <c r="T13" s="176"/>
    </row>
    <row r="14" spans="1:22" ht="18.75" customHeight="1" x14ac:dyDescent="0.25">
      <c r="A14" s="225"/>
      <c r="B14" s="525"/>
      <c r="C14" s="320" t="s">
        <v>270</v>
      </c>
      <c r="D14" s="519"/>
      <c r="E14" s="523"/>
      <c r="F14" s="313" t="s">
        <v>271</v>
      </c>
      <c r="G14" s="321"/>
      <c r="H14" s="519"/>
      <c r="I14" s="520"/>
      <c r="M14" s="236"/>
      <c r="N14" s="236"/>
      <c r="O14" s="177"/>
      <c r="P14" s="177"/>
      <c r="Q14" s="176"/>
      <c r="R14" s="176"/>
      <c r="S14" s="176"/>
      <c r="T14" s="176"/>
    </row>
    <row r="15" spans="1:22" ht="18.75" customHeight="1" x14ac:dyDescent="0.25">
      <c r="A15" s="225"/>
      <c r="B15" s="526"/>
      <c r="C15" s="314" t="s">
        <v>819</v>
      </c>
      <c r="D15" s="313"/>
      <c r="E15" s="527"/>
      <c r="F15" s="528"/>
      <c r="G15" s="528"/>
      <c r="H15" s="528"/>
      <c r="I15" s="529"/>
      <c r="M15" s="236"/>
      <c r="N15" s="236"/>
      <c r="O15" s="177"/>
      <c r="P15" s="177"/>
      <c r="Q15" s="176"/>
      <c r="R15" s="176"/>
      <c r="S15" s="176"/>
      <c r="T15" s="176"/>
    </row>
    <row r="16" spans="1:22" ht="18.75" customHeight="1" x14ac:dyDescent="0.25">
      <c r="A16" s="225"/>
      <c r="B16" s="524">
        <v>3</v>
      </c>
      <c r="C16" s="316"/>
      <c r="D16" s="521"/>
      <c r="E16" s="522"/>
      <c r="F16" s="521"/>
      <c r="G16" s="522"/>
      <c r="H16" s="311">
        <f>$H$8</f>
        <v>5</v>
      </c>
      <c r="I16" s="312"/>
      <c r="J16" s="225">
        <f t="shared" ref="J16:K16" si="0">K14</f>
        <v>0</v>
      </c>
      <c r="K16" s="225">
        <f t="shared" si="0"/>
        <v>0</v>
      </c>
      <c r="M16" s="236"/>
      <c r="N16" s="236"/>
      <c r="O16" s="177"/>
      <c r="P16" s="177"/>
      <c r="Q16" s="176"/>
      <c r="R16" s="176"/>
      <c r="S16" s="176"/>
      <c r="T16" s="176"/>
    </row>
    <row r="17" spans="1:20" ht="18.75" customHeight="1" x14ac:dyDescent="0.25">
      <c r="A17" s="225"/>
      <c r="B17" s="525"/>
      <c r="C17" s="320" t="s">
        <v>270</v>
      </c>
      <c r="D17" s="519"/>
      <c r="E17" s="523"/>
      <c r="F17" s="313" t="s">
        <v>271</v>
      </c>
      <c r="G17" s="321"/>
      <c r="H17" s="519"/>
      <c r="I17" s="520"/>
      <c r="J17" s="225">
        <f t="shared" ref="J17:J21" si="1">K16</f>
        <v>0</v>
      </c>
      <c r="K17" s="225">
        <f t="shared" ref="K17:K27" si="2">L16</f>
        <v>0</v>
      </c>
      <c r="M17" s="236"/>
      <c r="N17" s="236"/>
      <c r="O17" s="177"/>
      <c r="P17" s="177"/>
      <c r="Q17" s="176"/>
      <c r="R17" s="176"/>
      <c r="S17" s="176"/>
      <c r="T17" s="176"/>
    </row>
    <row r="18" spans="1:20" ht="18.75" customHeight="1" x14ac:dyDescent="0.25">
      <c r="A18" s="225"/>
      <c r="B18" s="526"/>
      <c r="C18" s="314" t="s">
        <v>819</v>
      </c>
      <c r="D18" s="313"/>
      <c r="E18" s="527"/>
      <c r="F18" s="528"/>
      <c r="G18" s="528"/>
      <c r="H18" s="528"/>
      <c r="I18" s="529"/>
      <c r="J18" s="225">
        <f t="shared" si="1"/>
        <v>0</v>
      </c>
      <c r="K18" s="225">
        <f t="shared" si="2"/>
        <v>0</v>
      </c>
      <c r="M18" s="236"/>
      <c r="N18" s="236" t="s">
        <v>812</v>
      </c>
      <c r="O18" s="177" t="s">
        <v>815</v>
      </c>
      <c r="P18" s="177"/>
      <c r="Q18" s="176"/>
      <c r="R18" s="176"/>
      <c r="S18" s="176"/>
      <c r="T18" s="176"/>
    </row>
    <row r="19" spans="1:20" ht="18.75" customHeight="1" x14ac:dyDescent="0.25">
      <c r="A19" s="225"/>
      <c r="B19" s="524">
        <v>4</v>
      </c>
      <c r="C19" s="316"/>
      <c r="D19" s="521"/>
      <c r="E19" s="522"/>
      <c r="F19" s="521"/>
      <c r="G19" s="522"/>
      <c r="H19" s="311">
        <f>$H$8</f>
        <v>5</v>
      </c>
      <c r="I19" s="312"/>
      <c r="J19" s="225">
        <f t="shared" si="1"/>
        <v>0</v>
      </c>
      <c r="K19" s="225">
        <f t="shared" si="2"/>
        <v>0</v>
      </c>
      <c r="M19" s="236"/>
      <c r="N19" s="3" t="s">
        <v>79</v>
      </c>
      <c r="O19" s="177" t="s">
        <v>576</v>
      </c>
      <c r="P19" s="177"/>
      <c r="Q19" s="176"/>
      <c r="R19" s="176"/>
      <c r="S19" s="176"/>
      <c r="T19" s="176"/>
    </row>
    <row r="20" spans="1:20" ht="18.75" customHeight="1" x14ac:dyDescent="0.25">
      <c r="A20" s="225"/>
      <c r="B20" s="525"/>
      <c r="C20" s="320" t="s">
        <v>270</v>
      </c>
      <c r="D20" s="519"/>
      <c r="E20" s="523"/>
      <c r="F20" s="313" t="s">
        <v>271</v>
      </c>
      <c r="G20" s="321"/>
      <c r="H20" s="519"/>
      <c r="I20" s="520"/>
      <c r="J20" s="225">
        <f t="shared" si="1"/>
        <v>0</v>
      </c>
      <c r="K20" s="225">
        <f t="shared" si="2"/>
        <v>0</v>
      </c>
      <c r="M20" s="236"/>
      <c r="N20" s="3" t="s">
        <v>79</v>
      </c>
      <c r="O20" s="177" t="s">
        <v>578</v>
      </c>
      <c r="P20" s="177"/>
      <c r="Q20" s="176"/>
      <c r="R20" s="176"/>
      <c r="S20" s="176"/>
      <c r="T20" s="176"/>
    </row>
    <row r="21" spans="1:20" ht="18.75" customHeight="1" x14ac:dyDescent="0.25">
      <c r="A21" s="225"/>
      <c r="B21" s="526"/>
      <c r="C21" s="314" t="s">
        <v>819</v>
      </c>
      <c r="D21" s="313"/>
      <c r="E21" s="527"/>
      <c r="F21" s="528"/>
      <c r="G21" s="528"/>
      <c r="H21" s="528"/>
      <c r="I21" s="529"/>
      <c r="J21" s="225">
        <f t="shared" si="1"/>
        <v>0</v>
      </c>
      <c r="K21" s="225">
        <f t="shared" si="2"/>
        <v>0</v>
      </c>
      <c r="M21" s="236"/>
      <c r="N21" s="3" t="s">
        <v>79</v>
      </c>
      <c r="O21" s="177" t="s">
        <v>577</v>
      </c>
      <c r="P21" s="177"/>
      <c r="Q21" s="176"/>
      <c r="R21" s="176"/>
      <c r="S21" s="176"/>
      <c r="T21" s="176"/>
    </row>
    <row r="22" spans="1:20" x14ac:dyDescent="0.25">
      <c r="A22" s="225"/>
      <c r="B22" s="225"/>
      <c r="C22" s="225"/>
      <c r="D22" s="225"/>
      <c r="E22" s="225"/>
      <c r="F22" s="225"/>
      <c r="G22" s="225"/>
      <c r="H22" s="225"/>
      <c r="I22" s="225"/>
      <c r="J22" s="225"/>
      <c r="K22" s="225">
        <f t="shared" si="2"/>
        <v>0</v>
      </c>
      <c r="M22" s="236"/>
      <c r="N22" s="3" t="s">
        <v>814</v>
      </c>
      <c r="O22" s="177" t="s">
        <v>576</v>
      </c>
      <c r="P22" s="177"/>
      <c r="Q22" s="176"/>
      <c r="R22" s="176"/>
      <c r="S22" s="176"/>
      <c r="T22" s="176"/>
    </row>
    <row r="23" spans="1:20" x14ac:dyDescent="0.25">
      <c r="A23" s="225"/>
      <c r="B23" s="225"/>
      <c r="C23" s="225"/>
      <c r="D23" s="225"/>
      <c r="E23" s="225"/>
      <c r="F23" s="225"/>
      <c r="G23" s="225"/>
      <c r="H23" s="225"/>
      <c r="I23" s="225"/>
      <c r="J23" s="225"/>
      <c r="K23" s="225">
        <f t="shared" si="2"/>
        <v>0</v>
      </c>
      <c r="M23" s="236"/>
      <c r="N23" s="3" t="s">
        <v>814</v>
      </c>
      <c r="O23" s="177" t="s">
        <v>578</v>
      </c>
      <c r="P23" s="177"/>
      <c r="Q23" s="176"/>
      <c r="R23" s="176"/>
      <c r="S23" s="176"/>
      <c r="T23" s="176"/>
    </row>
    <row r="24" spans="1:20" x14ac:dyDescent="0.25">
      <c r="A24" s="225"/>
      <c r="B24" s="225"/>
      <c r="C24" s="225"/>
      <c r="D24" s="225"/>
      <c r="E24" s="225"/>
      <c r="F24" s="225"/>
      <c r="G24" s="225"/>
      <c r="H24" s="225"/>
      <c r="I24" s="225"/>
      <c r="J24" s="225"/>
      <c r="K24" s="225">
        <f t="shared" si="2"/>
        <v>0</v>
      </c>
      <c r="M24" s="236"/>
      <c r="N24" s="3" t="s">
        <v>28</v>
      </c>
      <c r="O24" s="177" t="s">
        <v>813</v>
      </c>
      <c r="Q24" s="176"/>
      <c r="R24" s="176"/>
      <c r="S24" s="176"/>
      <c r="T24" s="176"/>
    </row>
    <row r="25" spans="1:20" ht="15.75" x14ac:dyDescent="0.25">
      <c r="A25" s="225"/>
      <c r="B25" s="225"/>
      <c r="C25" s="225"/>
      <c r="D25" s="225"/>
      <c r="E25" s="225"/>
      <c r="F25" s="225"/>
      <c r="G25" s="225"/>
      <c r="H25" s="225"/>
      <c r="I25" s="225"/>
      <c r="J25" s="225"/>
      <c r="K25" s="225">
        <f t="shared" si="2"/>
        <v>0</v>
      </c>
      <c r="M25" s="238"/>
      <c r="N25" s="237"/>
      <c r="O25" s="237"/>
      <c r="P25" s="237"/>
      <c r="Q25" s="176"/>
      <c r="R25" s="176"/>
      <c r="S25" s="176"/>
      <c r="T25" s="176"/>
    </row>
    <row r="26" spans="1:20" ht="15.75" x14ac:dyDescent="0.25">
      <c r="A26" s="225"/>
      <c r="B26" s="225"/>
      <c r="C26" s="225"/>
      <c r="D26" s="225"/>
      <c r="E26" s="225"/>
      <c r="F26" s="225"/>
      <c r="G26" s="225"/>
      <c r="H26" s="225"/>
      <c r="I26" s="225"/>
      <c r="J26" s="225"/>
      <c r="K26" s="225">
        <f t="shared" si="2"/>
        <v>0</v>
      </c>
      <c r="M26" s="237"/>
      <c r="N26" s="237"/>
      <c r="O26" s="237"/>
      <c r="P26" s="237"/>
      <c r="Q26" s="176"/>
      <c r="R26" s="176"/>
      <c r="S26" s="176"/>
      <c r="T26" s="176"/>
    </row>
    <row r="27" spans="1:20" ht="15.75" x14ac:dyDescent="0.25">
      <c r="A27" s="225"/>
      <c r="B27" s="225"/>
      <c r="C27" s="225"/>
      <c r="D27" s="225"/>
      <c r="E27" s="225"/>
      <c r="F27" s="225"/>
      <c r="G27" s="225"/>
      <c r="H27" s="225"/>
      <c r="I27" s="225"/>
      <c r="J27" s="225"/>
      <c r="K27" s="225">
        <f t="shared" si="2"/>
        <v>0</v>
      </c>
      <c r="M27" s="238"/>
      <c r="N27" s="237"/>
      <c r="O27" s="237"/>
      <c r="P27" s="237"/>
      <c r="Q27" s="176"/>
      <c r="R27" s="176"/>
      <c r="S27" s="176"/>
      <c r="T27" s="176"/>
    </row>
    <row r="28" spans="1:20" ht="15.75" x14ac:dyDescent="0.25">
      <c r="A28" s="225"/>
      <c r="B28" s="225"/>
      <c r="C28" s="225"/>
      <c r="D28" s="225"/>
      <c r="E28" s="225"/>
      <c r="F28" s="225"/>
      <c r="G28" s="225"/>
      <c r="H28" s="225"/>
      <c r="I28" s="225"/>
      <c r="J28" s="225"/>
      <c r="K28" s="225"/>
      <c r="L28" s="225"/>
      <c r="M28" s="237"/>
      <c r="O28" s="177"/>
      <c r="P28" s="177"/>
      <c r="Q28" s="176"/>
      <c r="R28" s="176"/>
      <c r="S28" s="176"/>
      <c r="T28" s="176"/>
    </row>
    <row r="29" spans="1:20" ht="15.75" x14ac:dyDescent="0.25">
      <c r="A29" s="225"/>
      <c r="B29" s="225"/>
      <c r="C29" s="225"/>
      <c r="D29" s="225"/>
      <c r="E29" s="225"/>
      <c r="F29" s="225"/>
      <c r="G29" s="225"/>
      <c r="H29" s="225"/>
      <c r="I29" s="225"/>
      <c r="J29" s="225"/>
      <c r="K29" s="225"/>
      <c r="L29" s="225"/>
      <c r="M29" s="238"/>
      <c r="N29" s="238"/>
      <c r="O29" s="177"/>
      <c r="P29" s="177"/>
      <c r="Q29" s="176"/>
      <c r="R29" s="176"/>
      <c r="S29" s="176"/>
      <c r="T29" s="176"/>
    </row>
    <row r="30" spans="1:20" ht="15.75" x14ac:dyDescent="0.25">
      <c r="A30" s="225"/>
      <c r="B30" s="225"/>
      <c r="C30" s="225"/>
      <c r="D30" s="225"/>
      <c r="E30" s="225"/>
      <c r="F30" s="225"/>
      <c r="G30" s="225"/>
      <c r="H30" s="225"/>
      <c r="I30" s="225"/>
      <c r="J30" s="225"/>
      <c r="K30" s="225"/>
      <c r="L30" s="225"/>
      <c r="M30" s="237"/>
      <c r="N30" s="238"/>
      <c r="O30" s="177"/>
      <c r="P30" s="177"/>
      <c r="Q30" s="176"/>
      <c r="R30" s="176"/>
      <c r="S30" s="176"/>
      <c r="T30" s="176"/>
    </row>
    <row r="31" spans="1:20" ht="15.75" x14ac:dyDescent="0.25">
      <c r="A31" s="225"/>
      <c r="B31" s="225"/>
      <c r="C31" s="225"/>
      <c r="D31" s="225"/>
      <c r="E31" s="225"/>
      <c r="F31" s="225"/>
      <c r="G31" s="225"/>
      <c r="H31" s="225"/>
      <c r="I31" s="225"/>
      <c r="J31" s="225"/>
      <c r="K31" s="225"/>
      <c r="M31" s="238"/>
      <c r="N31" s="238"/>
      <c r="O31" s="177"/>
      <c r="P31" s="177"/>
      <c r="Q31" s="176"/>
      <c r="R31" s="176"/>
      <c r="S31" s="176"/>
      <c r="T31" s="176"/>
    </row>
    <row r="32" spans="1:20" ht="22.5" customHeight="1" x14ac:dyDescent="0.25">
      <c r="A32" s="225"/>
      <c r="B32" s="518" t="s">
        <v>816</v>
      </c>
      <c r="C32" s="518"/>
      <c r="D32" s="518"/>
      <c r="E32" s="518"/>
      <c r="F32" s="518"/>
      <c r="G32" s="518"/>
      <c r="H32" s="518"/>
      <c r="I32" s="518"/>
      <c r="M32" s="237"/>
      <c r="N32" s="238"/>
      <c r="O32" s="177"/>
      <c r="P32" s="177"/>
      <c r="Q32" s="176"/>
      <c r="R32" s="176"/>
      <c r="S32" s="176"/>
      <c r="T32" s="176"/>
    </row>
    <row r="33" spans="1:20" ht="14.25" customHeight="1" x14ac:dyDescent="0.25">
      <c r="A33" s="225"/>
      <c r="B33" s="126"/>
      <c r="C33" s="126"/>
      <c r="D33" s="126"/>
      <c r="E33" s="126"/>
      <c r="F33" s="126"/>
      <c r="G33" s="126"/>
      <c r="H33" s="126"/>
      <c r="I33" s="126"/>
      <c r="N33" s="238"/>
      <c r="O33" s="177"/>
      <c r="P33" s="177"/>
      <c r="Q33" s="176"/>
      <c r="R33" s="176"/>
      <c r="S33" s="176"/>
      <c r="T33" s="176"/>
    </row>
    <row r="34" spans="1:20" x14ac:dyDescent="0.25">
      <c r="Q34" s="176"/>
      <c r="R34" s="176"/>
      <c r="S34" s="176"/>
      <c r="T34" s="176"/>
    </row>
    <row r="35" spans="1:20" x14ac:dyDescent="0.25">
      <c r="Q35" s="176"/>
      <c r="R35" s="176"/>
      <c r="S35" s="176"/>
      <c r="T35" s="176"/>
    </row>
    <row r="36" spans="1:20" x14ac:dyDescent="0.25">
      <c r="Q36" s="176"/>
      <c r="R36" s="176"/>
      <c r="S36" s="176"/>
      <c r="T36" s="176"/>
    </row>
    <row r="37" spans="1:20" x14ac:dyDescent="0.25">
      <c r="Q37" s="176"/>
      <c r="R37" s="176"/>
      <c r="S37" s="176"/>
      <c r="T37" s="176"/>
    </row>
    <row r="38" spans="1:20" x14ac:dyDescent="0.25">
      <c r="Q38" s="176"/>
      <c r="R38" s="176"/>
      <c r="S38" s="176"/>
      <c r="T38" s="176"/>
    </row>
    <row r="39" spans="1:20" x14ac:dyDescent="0.25">
      <c r="Q39" s="176"/>
      <c r="R39" s="176"/>
      <c r="S39" s="176"/>
      <c r="T39" s="176"/>
    </row>
    <row r="40" spans="1:20" x14ac:dyDescent="0.25">
      <c r="Q40" s="176"/>
      <c r="R40" s="176"/>
      <c r="S40" s="176"/>
      <c r="T40" s="176"/>
    </row>
    <row r="41" spans="1:20" x14ac:dyDescent="0.25">
      <c r="Q41" s="176"/>
      <c r="R41" s="176"/>
      <c r="S41" s="176"/>
      <c r="T41" s="176"/>
    </row>
    <row r="42" spans="1:20" x14ac:dyDescent="0.25">
      <c r="Q42" s="176"/>
      <c r="R42" s="176"/>
      <c r="S42" s="176"/>
      <c r="T42" s="176"/>
    </row>
  </sheetData>
  <sheetProtection algorithmName="SHA-512" hashValue="AEwsLxmWYuI60Qn9QnjRmrRvTJceFG1eKXR0k55IjryxgYl+UHsqTIxBoGnnu0yZHkXb82uB6Vj4P8GZbVfHgg==" saltValue="JAB49UPf7EvQT2zhdW6ewA==" spinCount="100000" sheet="1" objects="1" scenarios="1"/>
  <mergeCells count="28">
    <mergeCell ref="B10:B12"/>
    <mergeCell ref="E15:I15"/>
    <mergeCell ref="B13:B15"/>
    <mergeCell ref="B16:B18"/>
    <mergeCell ref="E18:I18"/>
    <mergeCell ref="H11:I11"/>
    <mergeCell ref="D10:E10"/>
    <mergeCell ref="F10:G10"/>
    <mergeCell ref="D11:E11"/>
    <mergeCell ref="D13:E13"/>
    <mergeCell ref="F13:G13"/>
    <mergeCell ref="E12:I12"/>
    <mergeCell ref="D9:E9"/>
    <mergeCell ref="F9:G9"/>
    <mergeCell ref="B4:I5"/>
    <mergeCell ref="B32:I32"/>
    <mergeCell ref="H14:I14"/>
    <mergeCell ref="H17:I17"/>
    <mergeCell ref="D16:E16"/>
    <mergeCell ref="F16:G16"/>
    <mergeCell ref="D17:E17"/>
    <mergeCell ref="D14:E14"/>
    <mergeCell ref="D19:E19"/>
    <mergeCell ref="D20:E20"/>
    <mergeCell ref="B19:B21"/>
    <mergeCell ref="F19:G19"/>
    <mergeCell ref="H20:I20"/>
    <mergeCell ref="E21:I21"/>
  </mergeCells>
  <dataValidations xWindow="815" yWindow="600" count="9">
    <dataValidation type="list" allowBlank="1" showInputMessage="1" showErrorMessage="1" errorTitle="Función " error="Seleccione la función que desempeña dentro del proyecto." promptTitle="Función dentro del proyecto" prompt="Esta lista depende el tipo de convocatoria que aplique la propuesta del proyecto tenga en cuenta esto." sqref="G14 G17 G20">
      <formula1>INDIRECT($G$7,1)</formula1>
    </dataValidation>
    <dataValidation type="list" allowBlank="1" showInputMessage="1" showErrorMessage="1" sqref="D14 D11 D17 D20">
      <formula1>NVEstudios</formula1>
    </dataValidation>
    <dataValidation type="whole" operator="greaterThan" allowBlank="1" showInputMessage="1" showErrorMessage="1" sqref="C10 C13 C16 C19">
      <formula1>0</formula1>
    </dataValidation>
    <dataValidation allowBlank="1" showInputMessage="1" showErrorMessage="1" errorTitle="Tiempo maximo" error="Debe poner tiempo ajusdtandose a los topes por convocatoria " sqref="H10 H13 H16 H19"/>
    <dataValidation type="list" allowBlank="1" showInputMessage="1" showErrorMessage="1" sqref="H11:I11">
      <formula1>INDIRECT("Vin"&amp;$G$11,1)</formula1>
    </dataValidation>
    <dataValidation type="whole" allowBlank="1" showInputMessage="1" showErrorMessage="1" errorTitle="Validación Tiempo" error="Dependiendo la convocatoria y el puntaje de productividad comprometida se aumenta el límite maximo de horas semanales de investigación. Valide Máximo y mínimo de horas" sqref="I10 I13 I16 I19">
      <formula1>0</formula1>
      <formula2>2</formula2>
    </dataValidation>
    <dataValidation type="list" allowBlank="1" showInputMessage="1" showErrorMessage="1" errorTitle="Función " error="Seleccione la función que desempeña dentro del proyecto." promptTitle="Función dentro del proyecto" prompt="Esta lista depende el tipo de convocatoria que aplique la propuesta del proyecto tenga en cuenta esto." sqref="G11">
      <formula1>$N$10:$N$12</formula1>
    </dataValidation>
    <dataValidation type="list" allowBlank="1" showInputMessage="1" showErrorMessage="1" promptTitle="NBC" prompt="Selecione el Nucleo Básico de Conocimiento. _x000a_" sqref="E12:I12 E15:I15 E18:I18 E21:I21">
      <formula1>Dt_NBC</formula1>
    </dataValidation>
    <dataValidation type="list" allowBlank="1" showInputMessage="1" showErrorMessage="1" sqref="H14:I14 H17:I17 H20:I20">
      <formula1>$N$24</formula1>
    </dataValidation>
  </dataValidations>
  <printOptions horizontalCentered="1"/>
  <pageMargins left="0.70866141732283472" right="0.70866141732283472" top="0.74803149606299213" bottom="0.74803149606299213" header="0.31496062992125984" footer="0.31496062992125984"/>
  <pageSetup scale="72"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tabColor theme="8" tint="0.39997558519241921"/>
  </sheetPr>
  <dimension ref="A1:R492"/>
  <sheetViews>
    <sheetView showGridLines="0" view="pageBreakPreview" topLeftCell="B67" zoomScale="85" zoomScaleNormal="85" zoomScaleSheetLayoutView="85" workbookViewId="0">
      <selection activeCell="E33" sqref="E33:F33"/>
    </sheetView>
  </sheetViews>
  <sheetFormatPr baseColWidth="10" defaultColWidth="0" defaultRowHeight="15" zeroHeight="1" x14ac:dyDescent="0.25"/>
  <cols>
    <col min="1" max="1" width="4.42578125" style="3" customWidth="1"/>
    <col min="2" max="2" width="3.42578125" style="3" customWidth="1"/>
    <col min="3" max="3" width="20.7109375" style="3" customWidth="1"/>
    <col min="4" max="4" width="6.5703125" style="3" customWidth="1"/>
    <col min="5" max="5" width="25.5703125" style="3" customWidth="1"/>
    <col min="6" max="9" width="15.85546875" style="3" customWidth="1"/>
    <col min="10" max="10" width="7.42578125" style="3" customWidth="1"/>
    <col min="11" max="11" width="11.7109375" style="3" customWidth="1"/>
    <col min="12" max="12" width="29.140625" style="3" customWidth="1"/>
    <col min="13" max="13" width="10.7109375" style="3" customWidth="1"/>
    <col min="14" max="14" width="13.85546875" style="3" customWidth="1"/>
    <col min="15" max="18" width="11.42578125" style="3" customWidth="1"/>
    <col min="19" max="16384" width="11.42578125" style="3" hidden="1"/>
  </cols>
  <sheetData>
    <row r="1" spans="2:15" ht="25.5" customHeight="1" x14ac:dyDescent="0.25"/>
    <row r="2" spans="2:15" ht="55.5" customHeight="1" x14ac:dyDescent="0.25"/>
    <row r="3" spans="2:15" ht="57" customHeight="1" thickBot="1" x14ac:dyDescent="0.3"/>
    <row r="4" spans="2:15" ht="45.75" customHeight="1" x14ac:dyDescent="0.25">
      <c r="B4" s="358" t="str">
        <f>Datos_Generales!B3</f>
        <v>PRESENTACIÓN DE PROYECTOS 
DE INICIACIÓN CIENTIFÍCA 2018 - 2</v>
      </c>
      <c r="C4" s="359"/>
      <c r="D4" s="359"/>
      <c r="E4" s="359"/>
      <c r="F4" s="359"/>
      <c r="G4" s="359"/>
      <c r="H4" s="359"/>
      <c r="I4" s="360"/>
    </row>
    <row r="5" spans="2:15" ht="36.75" customHeight="1" thickBot="1" x14ac:dyDescent="0.3">
      <c r="B5" s="361"/>
      <c r="C5" s="362"/>
      <c r="D5" s="362"/>
      <c r="E5" s="362"/>
      <c r="F5" s="362"/>
      <c r="G5" s="362"/>
      <c r="H5" s="362"/>
      <c r="I5" s="363"/>
    </row>
    <row r="6" spans="2:15" x14ac:dyDescent="0.25"/>
    <row r="7" spans="2:15" x14ac:dyDescent="0.25">
      <c r="B7" s="7" t="s">
        <v>485</v>
      </c>
      <c r="C7" s="8" t="s">
        <v>366</v>
      </c>
      <c r="D7" s="8"/>
      <c r="E7" s="9"/>
      <c r="F7" s="9"/>
      <c r="G7" s="9"/>
      <c r="H7" s="242" t="str">
        <f>Integrantes!I7</f>
        <v>PIC</v>
      </c>
      <c r="I7" s="243">
        <f>INT(PD!H31)</f>
        <v>0</v>
      </c>
      <c r="L7" s="189"/>
      <c r="M7" s="190"/>
    </row>
    <row r="8" spans="2:15" ht="5.25" customHeight="1" x14ac:dyDescent="0.25"/>
    <row r="9" spans="2:15" x14ac:dyDescent="0.25">
      <c r="B9" s="3" t="s">
        <v>346</v>
      </c>
      <c r="C9" s="192" t="s">
        <v>352</v>
      </c>
      <c r="F9" s="3">
        <v>1.61</v>
      </c>
    </row>
    <row r="10" spans="2:15" ht="14.25" customHeight="1" thickBot="1" x14ac:dyDescent="0.3"/>
    <row r="11" spans="2:15" ht="30.75" thickBot="1" x14ac:dyDescent="0.3">
      <c r="B11" s="136" t="s">
        <v>261</v>
      </c>
      <c r="C11" s="135" t="s">
        <v>470</v>
      </c>
      <c r="D11" s="135" t="s">
        <v>347</v>
      </c>
      <c r="E11" s="135" t="s">
        <v>350</v>
      </c>
      <c r="F11" s="137" t="s">
        <v>348</v>
      </c>
      <c r="G11" s="135" t="s">
        <v>442</v>
      </c>
      <c r="H11" s="138" t="s">
        <v>349</v>
      </c>
      <c r="I11" s="134" t="s">
        <v>456</v>
      </c>
    </row>
    <row r="12" spans="2:15" ht="15.75" thickTop="1" x14ac:dyDescent="0.25">
      <c r="B12" s="56">
        <v>1</v>
      </c>
      <c r="C12" s="266"/>
      <c r="D12" s="133">
        <f>F9</f>
        <v>1.61</v>
      </c>
      <c r="E12" s="133">
        <f ca="1">INDIRECT("integrantes!h"&amp;$J12+1,1)</f>
        <v>0</v>
      </c>
      <c r="F12" s="133">
        <f ca="1">INDIRECT("integrantes!h"&amp;$J12,1)</f>
        <v>5</v>
      </c>
      <c r="G12" s="133">
        <f ca="1">INDIRECT("integrantes!I"&amp;$J12,1)</f>
        <v>0</v>
      </c>
      <c r="H12" s="260">
        <f ca="1">INT((C12*F12)/40)*G12</f>
        <v>0</v>
      </c>
      <c r="I12" s="261">
        <f>VLOOKUP($B12,Integrantes!$B$9:$I$33,2,0)</f>
        <v>0</v>
      </c>
      <c r="J12" s="315">
        <v>10</v>
      </c>
    </row>
    <row r="13" spans="2:15" ht="15.75" thickBot="1" x14ac:dyDescent="0.3">
      <c r="B13" s="56">
        <f>B12+1</f>
        <v>2</v>
      </c>
      <c r="C13" s="266"/>
      <c r="D13" s="133">
        <f>D12</f>
        <v>1.61</v>
      </c>
      <c r="E13" s="133">
        <f t="shared" ref="E13" ca="1" si="0">INDIRECT("integrantes!h"&amp;$J13+1,1)</f>
        <v>0</v>
      </c>
      <c r="F13" s="133">
        <f t="shared" ref="F13" ca="1" si="1">INDIRECT("integrantes!h"&amp;$J13,1)</f>
        <v>5</v>
      </c>
      <c r="G13" s="133">
        <f t="shared" ref="G13" ca="1" si="2">INDIRECT("integrantes!I"&amp;$J13,1)</f>
        <v>0</v>
      </c>
      <c r="H13" s="260">
        <f t="shared" ref="H13" ca="1" si="3">INT((C13*F13)/40)*G13</f>
        <v>0</v>
      </c>
      <c r="I13" s="261">
        <f>VLOOKUP($B13,Integrantes!$B$9:$I$33,2,0)</f>
        <v>0</v>
      </c>
      <c r="J13" s="315">
        <f>J12+3</f>
        <v>13</v>
      </c>
      <c r="O13" s="99"/>
    </row>
    <row r="14" spans="2:15" hidden="1" x14ac:dyDescent="0.25">
      <c r="B14" s="56"/>
      <c r="C14" s="266"/>
      <c r="D14" s="133"/>
      <c r="E14" s="133"/>
      <c r="F14" s="133"/>
      <c r="G14" s="133"/>
      <c r="H14" s="260"/>
      <c r="I14" s="261"/>
      <c r="J14" s="315"/>
      <c r="O14" s="99"/>
    </row>
    <row r="15" spans="2:15" hidden="1" x14ac:dyDescent="0.25">
      <c r="B15" s="56"/>
      <c r="C15" s="266"/>
      <c r="D15" s="133"/>
      <c r="E15" s="133"/>
      <c r="F15" s="133"/>
      <c r="G15" s="133"/>
      <c r="H15" s="260"/>
      <c r="I15" s="261"/>
      <c r="J15" s="315"/>
      <c r="O15" s="269"/>
    </row>
    <row r="16" spans="2:15" ht="15.75" hidden="1" thickBot="1" x14ac:dyDescent="0.3">
      <c r="B16" s="56"/>
      <c r="C16" s="266"/>
      <c r="D16" s="133"/>
      <c r="E16" s="133"/>
      <c r="F16" s="133"/>
      <c r="G16" s="133"/>
      <c r="H16" s="260"/>
      <c r="I16" s="261"/>
      <c r="J16" s="315"/>
      <c r="O16" s="99"/>
    </row>
    <row r="17" spans="2:16" ht="15.75" hidden="1" thickBot="1" x14ac:dyDescent="0.3">
      <c r="B17" s="56"/>
      <c r="C17" s="266"/>
      <c r="D17" s="133"/>
      <c r="E17" s="133"/>
      <c r="F17" s="133"/>
      <c r="G17" s="133"/>
      <c r="H17" s="260"/>
      <c r="I17" s="261"/>
      <c r="J17" s="315"/>
      <c r="O17" s="273"/>
    </row>
    <row r="18" spans="2:16" hidden="1" x14ac:dyDescent="0.25">
      <c r="B18" s="56"/>
      <c r="C18" s="266"/>
      <c r="D18" s="133"/>
      <c r="E18" s="133"/>
      <c r="F18" s="133"/>
      <c r="G18" s="133"/>
      <c r="H18" s="260"/>
      <c r="I18" s="261"/>
    </row>
    <row r="19" spans="2:16" hidden="1" x14ac:dyDescent="0.25">
      <c r="B19" s="56"/>
      <c r="C19" s="266"/>
      <c r="D19" s="133"/>
      <c r="E19" s="133"/>
      <c r="F19" s="133"/>
      <c r="G19" s="133"/>
      <c r="H19" s="260"/>
      <c r="I19" s="261"/>
    </row>
    <row r="20" spans="2:16" hidden="1" x14ac:dyDescent="0.25">
      <c r="B20" s="56"/>
      <c r="C20" s="266"/>
      <c r="D20" s="133"/>
      <c r="E20" s="133"/>
      <c r="F20" s="133"/>
      <c r="G20" s="133"/>
      <c r="H20" s="260"/>
      <c r="I20" s="261"/>
    </row>
    <row r="21" spans="2:16" ht="15.75" hidden="1" thickBot="1" x14ac:dyDescent="0.3">
      <c r="B21" s="56"/>
      <c r="C21" s="266"/>
      <c r="D21" s="133"/>
      <c r="E21" s="133"/>
      <c r="F21" s="133"/>
      <c r="G21" s="133"/>
      <c r="H21" s="260"/>
      <c r="I21" s="262"/>
    </row>
    <row r="22" spans="2:16" ht="16.5" thickTop="1" thickBot="1" x14ac:dyDescent="0.3">
      <c r="B22" s="128"/>
      <c r="C22" s="129" t="s">
        <v>368</v>
      </c>
      <c r="D22" s="129"/>
      <c r="E22" s="129"/>
      <c r="F22" s="130"/>
      <c r="G22" s="131"/>
      <c r="H22" s="132">
        <f ca="1">SUM(H12:H21)</f>
        <v>0</v>
      </c>
      <c r="I22" s="132">
        <f>COUNTIF(I12:I21,"&gt;"&amp;0)</f>
        <v>0</v>
      </c>
    </row>
    <row r="23" spans="2:16" ht="8.25" customHeight="1" x14ac:dyDescent="0.25"/>
    <row r="24" spans="2:16" x14ac:dyDescent="0.25">
      <c r="N24" s="241"/>
      <c r="P24" s="155"/>
    </row>
    <row r="25" spans="2:16" x14ac:dyDescent="0.25">
      <c r="P25" s="155"/>
    </row>
    <row r="26" spans="2:16" ht="18" customHeight="1" x14ac:dyDescent="0.25">
      <c r="B26" s="7" t="s">
        <v>914</v>
      </c>
      <c r="C26" s="8" t="s">
        <v>573</v>
      </c>
      <c r="D26" s="8"/>
      <c r="E26" s="9"/>
      <c r="F26" s="9"/>
      <c r="G26" s="272" t="s">
        <v>585</v>
      </c>
      <c r="H26" s="231" t="str">
        <f>Integrantes!H7</f>
        <v>FunProy_</v>
      </c>
      <c r="I26" s="231" t="str">
        <f>Integrantes!I7</f>
        <v>PIC</v>
      </c>
      <c r="P26" s="155"/>
    </row>
    <row r="27" spans="2:16" ht="15.75" thickBot="1" x14ac:dyDescent="0.3">
      <c r="N27" s="3" t="s">
        <v>557</v>
      </c>
      <c r="P27" s="155"/>
    </row>
    <row r="28" spans="2:16" ht="26.25" customHeight="1" x14ac:dyDescent="0.25">
      <c r="C28" s="536" t="str">
        <f>"Proyecto títulado : "&amp;Datos_Generales!$D$10</f>
        <v xml:space="preserve">Proyecto títulado : </v>
      </c>
      <c r="D28" s="537"/>
      <c r="E28" s="537"/>
      <c r="F28" s="537"/>
      <c r="G28" s="537"/>
      <c r="H28" s="537"/>
      <c r="I28" s="538"/>
      <c r="N28" s="3" t="s">
        <v>558</v>
      </c>
      <c r="P28" s="155"/>
    </row>
    <row r="29" spans="2:16" ht="21" customHeight="1" thickBot="1" x14ac:dyDescent="0.3">
      <c r="C29" s="259" t="s">
        <v>627</v>
      </c>
      <c r="D29" s="539">
        <f>Datos_Generales!$D$12</f>
        <v>0</v>
      </c>
      <c r="E29" s="539"/>
      <c r="F29" s="539"/>
      <c r="G29" s="539"/>
      <c r="H29" s="539"/>
      <c r="I29" s="540"/>
      <c r="L29" s="58" t="s">
        <v>628</v>
      </c>
      <c r="N29" s="3" t="s">
        <v>559</v>
      </c>
      <c r="P29" s="155"/>
    </row>
    <row r="30" spans="2:16" ht="15.75" thickBot="1" x14ac:dyDescent="0.3">
      <c r="C30" s="3" t="s">
        <v>629</v>
      </c>
      <c r="L30" s="59">
        <v>1000000</v>
      </c>
      <c r="P30" s="155"/>
    </row>
    <row r="31" spans="2:16" ht="15.75" thickBot="1" x14ac:dyDescent="0.3">
      <c r="B31" s="53" t="s">
        <v>261</v>
      </c>
      <c r="C31" s="54" t="s">
        <v>333</v>
      </c>
      <c r="D31" s="54" t="s">
        <v>574</v>
      </c>
      <c r="E31" s="553" t="s">
        <v>274</v>
      </c>
      <c r="F31" s="554"/>
      <c r="G31" s="54" t="s">
        <v>335</v>
      </c>
      <c r="H31" s="54" t="s">
        <v>455</v>
      </c>
      <c r="I31" s="55" t="s">
        <v>641</v>
      </c>
      <c r="P31" s="155"/>
    </row>
    <row r="32" spans="2:16" s="268" customFormat="1" ht="30" customHeight="1" thickTop="1" x14ac:dyDescent="0.25">
      <c r="B32" s="33">
        <v>1</v>
      </c>
      <c r="C32" s="280" t="s">
        <v>324</v>
      </c>
      <c r="D32" s="324">
        <v>1</v>
      </c>
      <c r="E32" s="555"/>
      <c r="F32" s="556"/>
      <c r="G32" s="325" t="s">
        <v>44</v>
      </c>
      <c r="H32" s="325">
        <f ca="1">H22</f>
        <v>0</v>
      </c>
      <c r="I32" s="304"/>
      <c r="K32" s="3"/>
      <c r="L32" s="3"/>
      <c r="M32" s="3"/>
      <c r="N32" s="3"/>
      <c r="O32" s="3"/>
      <c r="P32" s="155"/>
    </row>
    <row r="33" spans="2:15" s="268" customFormat="1" ht="30" customHeight="1" x14ac:dyDescent="0.25">
      <c r="B33" s="40">
        <v>2</v>
      </c>
      <c r="C33" s="78"/>
      <c r="D33" s="324">
        <v>1</v>
      </c>
      <c r="E33" s="555"/>
      <c r="F33" s="556"/>
      <c r="G33" s="57"/>
      <c r="H33" s="57"/>
      <c r="I33" s="304"/>
      <c r="L33" s="268" t="s">
        <v>336</v>
      </c>
    </row>
    <row r="34" spans="2:15" s="268" customFormat="1" ht="30" customHeight="1" x14ac:dyDescent="0.25">
      <c r="B34" s="40">
        <v>3</v>
      </c>
      <c r="C34" s="78"/>
      <c r="D34" s="324">
        <v>1</v>
      </c>
      <c r="E34" s="555"/>
      <c r="F34" s="556"/>
      <c r="G34" s="57"/>
      <c r="H34" s="57"/>
      <c r="I34" s="305"/>
      <c r="L34" s="271" t="s">
        <v>471</v>
      </c>
    </row>
    <row r="35" spans="2:15" s="268" customFormat="1" ht="30" customHeight="1" x14ac:dyDescent="0.25">
      <c r="B35" s="40">
        <v>4</v>
      </c>
      <c r="C35" s="78"/>
      <c r="D35" s="324">
        <v>1</v>
      </c>
      <c r="E35" s="555"/>
      <c r="F35" s="556"/>
      <c r="G35" s="57"/>
      <c r="H35" s="57"/>
      <c r="I35" s="305"/>
      <c r="L35" s="211" t="s">
        <v>321</v>
      </c>
      <c r="M35" s="209" t="s">
        <v>337</v>
      </c>
      <c r="N35" s="210" t="s">
        <v>460</v>
      </c>
      <c r="O35" s="209" t="s">
        <v>344</v>
      </c>
    </row>
    <row r="36" spans="2:15" s="268" customFormat="1" ht="30" customHeight="1" x14ac:dyDescent="0.25">
      <c r="B36" s="40">
        <v>5</v>
      </c>
      <c r="C36" s="78"/>
      <c r="D36" s="324">
        <v>1</v>
      </c>
      <c r="E36" s="555"/>
      <c r="F36" s="556"/>
      <c r="G36" s="57"/>
      <c r="H36" s="57"/>
      <c r="I36" s="305"/>
      <c r="L36" s="81" t="s">
        <v>324</v>
      </c>
      <c r="M36" s="82">
        <f>K65</f>
        <v>0</v>
      </c>
      <c r="N36" s="84">
        <f t="shared" ref="N36:N44" si="4">F65</f>
        <v>0</v>
      </c>
      <c r="O36" s="85">
        <f t="shared" ref="O36:O44" si="5">D65</f>
        <v>0</v>
      </c>
    </row>
    <row r="37" spans="2:15" s="268" customFormat="1" ht="30" customHeight="1" x14ac:dyDescent="0.25">
      <c r="B37" s="40">
        <v>6</v>
      </c>
      <c r="C37" s="78"/>
      <c r="D37" s="324">
        <v>1</v>
      </c>
      <c r="E37" s="555"/>
      <c r="F37" s="556"/>
      <c r="G37" s="57"/>
      <c r="H37" s="57"/>
      <c r="I37" s="305"/>
      <c r="L37" s="81" t="s">
        <v>325</v>
      </c>
      <c r="M37" s="82">
        <f>K66</f>
        <v>1</v>
      </c>
      <c r="N37" s="84">
        <f t="shared" si="4"/>
        <v>0</v>
      </c>
      <c r="O37" s="85">
        <f t="shared" si="5"/>
        <v>0</v>
      </c>
    </row>
    <row r="38" spans="2:15" s="268" customFormat="1" ht="30" customHeight="1" x14ac:dyDescent="0.25">
      <c r="B38" s="40">
        <v>7</v>
      </c>
      <c r="C38" s="78"/>
      <c r="D38" s="324">
        <v>1</v>
      </c>
      <c r="E38" s="555"/>
      <c r="F38" s="556"/>
      <c r="G38" s="57"/>
      <c r="H38" s="57"/>
      <c r="I38" s="305"/>
      <c r="L38" s="81" t="s">
        <v>70</v>
      </c>
      <c r="M38" s="82">
        <f>K67</f>
        <v>1</v>
      </c>
      <c r="N38" s="84">
        <f t="shared" si="4"/>
        <v>0</v>
      </c>
      <c r="O38" s="85">
        <f t="shared" si="5"/>
        <v>0</v>
      </c>
    </row>
    <row r="39" spans="2:15" s="268" customFormat="1" ht="30" customHeight="1" x14ac:dyDescent="0.25">
      <c r="B39" s="40">
        <v>8</v>
      </c>
      <c r="C39" s="78"/>
      <c r="D39" s="324">
        <v>1</v>
      </c>
      <c r="E39" s="555"/>
      <c r="F39" s="556"/>
      <c r="G39" s="57"/>
      <c r="H39" s="57"/>
      <c r="I39" s="305"/>
      <c r="L39" s="81" t="s">
        <v>173</v>
      </c>
      <c r="M39" s="82">
        <f>K68</f>
        <v>1</v>
      </c>
      <c r="N39" s="84">
        <f t="shared" si="4"/>
        <v>0</v>
      </c>
      <c r="O39" s="85">
        <f t="shared" si="5"/>
        <v>0</v>
      </c>
    </row>
    <row r="40" spans="2:15" s="268" customFormat="1" ht="30" customHeight="1" x14ac:dyDescent="0.25">
      <c r="B40" s="40">
        <v>9</v>
      </c>
      <c r="C40" s="78"/>
      <c r="D40" s="324">
        <v>1</v>
      </c>
      <c r="E40" s="555"/>
      <c r="F40" s="556"/>
      <c r="G40" s="57"/>
      <c r="H40" s="57"/>
      <c r="I40" s="305"/>
      <c r="L40" s="81" t="s">
        <v>326</v>
      </c>
      <c r="M40" s="82">
        <v>0.1</v>
      </c>
      <c r="N40" s="84">
        <f t="shared" si="4"/>
        <v>0</v>
      </c>
      <c r="O40" s="85">
        <f t="shared" si="5"/>
        <v>0</v>
      </c>
    </row>
    <row r="41" spans="2:15" s="268" customFormat="1" ht="30" customHeight="1" x14ac:dyDescent="0.25">
      <c r="B41" s="40">
        <v>10</v>
      </c>
      <c r="C41" s="78"/>
      <c r="D41" s="324">
        <v>1</v>
      </c>
      <c r="E41" s="555"/>
      <c r="F41" s="556"/>
      <c r="G41" s="57"/>
      <c r="H41" s="57"/>
      <c r="I41" s="305"/>
      <c r="L41" s="81" t="s">
        <v>327</v>
      </c>
      <c r="M41" s="82">
        <f>K70</f>
        <v>0.5</v>
      </c>
      <c r="N41" s="84">
        <f t="shared" si="4"/>
        <v>0</v>
      </c>
      <c r="O41" s="85">
        <f t="shared" si="5"/>
        <v>0</v>
      </c>
    </row>
    <row r="42" spans="2:15" s="268" customFormat="1" ht="30" customHeight="1" x14ac:dyDescent="0.25">
      <c r="B42" s="40">
        <v>11</v>
      </c>
      <c r="C42" s="78"/>
      <c r="D42" s="324">
        <v>1</v>
      </c>
      <c r="E42" s="555"/>
      <c r="F42" s="556"/>
      <c r="G42" s="57"/>
      <c r="H42" s="57"/>
      <c r="I42" s="305"/>
      <c r="L42" s="81" t="s">
        <v>575</v>
      </c>
      <c r="M42" s="82">
        <f>K71</f>
        <v>0</v>
      </c>
      <c r="N42" s="84">
        <f t="shared" si="4"/>
        <v>0</v>
      </c>
      <c r="O42" s="85">
        <f t="shared" si="5"/>
        <v>0</v>
      </c>
    </row>
    <row r="43" spans="2:15" s="268" customFormat="1" ht="30" customHeight="1" x14ac:dyDescent="0.25">
      <c r="B43" s="40">
        <v>12</v>
      </c>
      <c r="C43" s="78"/>
      <c r="D43" s="324">
        <v>1</v>
      </c>
      <c r="E43" s="555"/>
      <c r="F43" s="556"/>
      <c r="G43" s="57"/>
      <c r="H43" s="57"/>
      <c r="I43" s="305"/>
      <c r="L43" s="81" t="s">
        <v>630</v>
      </c>
      <c r="M43" s="82">
        <f>K72</f>
        <v>0.05</v>
      </c>
      <c r="N43" s="84">
        <f t="shared" si="4"/>
        <v>0</v>
      </c>
      <c r="O43" s="85">
        <f t="shared" si="5"/>
        <v>0</v>
      </c>
    </row>
    <row r="44" spans="2:15" s="268" customFormat="1" ht="30" customHeight="1" x14ac:dyDescent="0.25">
      <c r="B44" s="40">
        <v>13</v>
      </c>
      <c r="C44" s="78"/>
      <c r="D44" s="324">
        <v>1</v>
      </c>
      <c r="E44" s="555"/>
      <c r="F44" s="556"/>
      <c r="G44" s="57"/>
      <c r="H44" s="57"/>
      <c r="I44" s="305"/>
      <c r="L44" s="81" t="s">
        <v>506</v>
      </c>
      <c r="M44" s="82">
        <f>K73</f>
        <v>0</v>
      </c>
      <c r="N44" s="84">
        <f t="shared" si="4"/>
        <v>0</v>
      </c>
      <c r="O44" s="85">
        <f t="shared" si="5"/>
        <v>0</v>
      </c>
    </row>
    <row r="45" spans="2:15" s="268" customFormat="1" ht="30" customHeight="1" x14ac:dyDescent="0.25">
      <c r="B45" s="40">
        <v>14</v>
      </c>
      <c r="C45" s="78"/>
      <c r="D45" s="324">
        <v>1</v>
      </c>
      <c r="E45" s="555"/>
      <c r="F45" s="556"/>
      <c r="G45" s="57"/>
      <c r="H45" s="57"/>
      <c r="I45" s="305"/>
      <c r="L45" s="83" t="s">
        <v>459</v>
      </c>
      <c r="M45" s="82">
        <v>1</v>
      </c>
      <c r="N45" s="84">
        <f>SUM(N36:N43)</f>
        <v>0</v>
      </c>
      <c r="O45" s="85"/>
    </row>
    <row r="46" spans="2:15" s="268" customFormat="1" ht="30" customHeight="1" x14ac:dyDescent="0.25">
      <c r="B46" s="40">
        <v>15</v>
      </c>
      <c r="C46" s="78"/>
      <c r="D46" s="324">
        <v>1</v>
      </c>
      <c r="E46" s="555"/>
      <c r="F46" s="556"/>
      <c r="G46" s="57"/>
      <c r="H46" s="57"/>
      <c r="I46" s="305"/>
    </row>
    <row r="47" spans="2:15" ht="16.5" thickBot="1" x14ac:dyDescent="0.3">
      <c r="B47" s="60"/>
      <c r="C47" s="61"/>
      <c r="D47" s="62"/>
      <c r="E47" s="557"/>
      <c r="F47" s="558"/>
      <c r="G47" s="63"/>
      <c r="H47" s="63"/>
      <c r="I47" s="309"/>
      <c r="K47" s="268"/>
      <c r="L47" s="268"/>
      <c r="M47" s="268"/>
      <c r="N47" s="268"/>
      <c r="O47" s="268"/>
    </row>
    <row r="48" spans="2:15" ht="16.5" thickTop="1" thickBot="1" x14ac:dyDescent="0.3">
      <c r="B48" s="64"/>
      <c r="C48" s="65" t="s">
        <v>369</v>
      </c>
      <c r="D48" s="66"/>
      <c r="E48" s="65"/>
      <c r="F48" s="67">
        <f ca="1">SUM(G48:I48)</f>
        <v>0</v>
      </c>
      <c r="G48" s="67">
        <f>SUM(G32:G47)</f>
        <v>0</v>
      </c>
      <c r="H48" s="67">
        <f ca="1">SUM(H32:H47)</f>
        <v>0</v>
      </c>
      <c r="I48" s="306">
        <v>0</v>
      </c>
      <c r="L48" s="3">
        <f>COUNTIF(G48,"&gt;"&amp;1000000)</f>
        <v>0</v>
      </c>
      <c r="M48" s="3" t="s">
        <v>915</v>
      </c>
    </row>
    <row r="49" spans="2:14" x14ac:dyDescent="0.25">
      <c r="E49" s="265" t="s">
        <v>631</v>
      </c>
      <c r="F49" s="265"/>
      <c r="G49" s="274">
        <f>SUMIF($D$32:$D$47,1,$G$32:$G$47)</f>
        <v>0</v>
      </c>
      <c r="H49" s="275">
        <f ca="1">SUMIF($D$32:$D$47,1,$H$32:$H$47)</f>
        <v>0</v>
      </c>
      <c r="I49" s="307">
        <v>0</v>
      </c>
    </row>
    <row r="50" spans="2:14" ht="15.75" thickBot="1" x14ac:dyDescent="0.3">
      <c r="B50" s="322"/>
      <c r="C50" s="323" t="str">
        <f>IF(L48&gt;0,M48,"")</f>
        <v/>
      </c>
      <c r="D50" s="322"/>
      <c r="G50" s="276">
        <f>SUMIF($D$32:$D$47,2,$G$32:$G$47)</f>
        <v>0</v>
      </c>
      <c r="H50" s="277">
        <f>SUMIF($D$32:$D$47,2,$H$32:$H$47)</f>
        <v>0</v>
      </c>
      <c r="I50" s="308">
        <v>0</v>
      </c>
      <c r="L50" s="3" t="s">
        <v>70</v>
      </c>
    </row>
    <row r="51" spans="2:14" ht="21" customHeight="1" thickBot="1" x14ac:dyDescent="0.3">
      <c r="B51" s="278"/>
      <c r="C51" s="278"/>
      <c r="D51" s="278"/>
      <c r="L51" s="3" t="s">
        <v>173</v>
      </c>
    </row>
    <row r="52" spans="2:14" ht="21" customHeight="1" thickTop="1" x14ac:dyDescent="0.25">
      <c r="B52" s="279" t="s">
        <v>625</v>
      </c>
      <c r="L52" s="3" t="s">
        <v>327</v>
      </c>
    </row>
    <row r="53" spans="2:14" ht="14.25" customHeight="1" x14ac:dyDescent="0.25"/>
    <row r="54" spans="2:14" ht="99" customHeight="1" x14ac:dyDescent="0.25"/>
    <row r="55" spans="2:14" ht="4.5" customHeight="1" x14ac:dyDescent="0.25"/>
    <row r="56" spans="2:14" ht="8.25" customHeight="1" x14ac:dyDescent="0.25"/>
    <row r="57" spans="2:14" ht="14.25" customHeight="1" thickBot="1" x14ac:dyDescent="0.3">
      <c r="B57" s="3" t="s">
        <v>583</v>
      </c>
      <c r="C57" s="3" t="s">
        <v>584</v>
      </c>
    </row>
    <row r="58" spans="2:14" ht="39" customHeight="1" x14ac:dyDescent="0.25">
      <c r="C58" s="536" t="str">
        <f>C28</f>
        <v xml:space="preserve">Proyecto títulado : </v>
      </c>
      <c r="D58" s="537"/>
      <c r="E58" s="537"/>
      <c r="F58" s="537"/>
      <c r="G58" s="537"/>
      <c r="H58" s="537"/>
      <c r="I58" s="538"/>
    </row>
    <row r="59" spans="2:14" ht="29.25" customHeight="1" thickBot="1" x14ac:dyDescent="0.3">
      <c r="C59" s="281" t="s">
        <v>627</v>
      </c>
      <c r="D59" s="539">
        <f>D29</f>
        <v>0</v>
      </c>
      <c r="E59" s="539"/>
      <c r="F59" s="539"/>
      <c r="G59" s="539"/>
      <c r="H59" s="539"/>
      <c r="I59" s="540"/>
    </row>
    <row r="60" spans="2:14" ht="14.25" customHeight="1" x14ac:dyDescent="0.25"/>
    <row r="61" spans="2:14" ht="14.25" customHeight="1" x14ac:dyDescent="0.25">
      <c r="B61" s="7" t="s">
        <v>486</v>
      </c>
      <c r="C61" s="8" t="s">
        <v>632</v>
      </c>
      <c r="D61" s="8"/>
      <c r="E61" s="9"/>
      <c r="F61" s="9"/>
      <c r="G61" s="9"/>
      <c r="H61" s="231"/>
      <c r="I61" s="231"/>
    </row>
    <row r="62" spans="2:14" ht="14.25" customHeight="1" x14ac:dyDescent="0.25"/>
    <row r="63" spans="2:14" ht="6" customHeight="1" thickBot="1" x14ac:dyDescent="0.3"/>
    <row r="64" spans="2:14" ht="45.75" thickBot="1" x14ac:dyDescent="0.3">
      <c r="B64" s="156" t="s">
        <v>261</v>
      </c>
      <c r="C64" s="541" t="s">
        <v>321</v>
      </c>
      <c r="D64" s="541"/>
      <c r="E64" s="542"/>
      <c r="F64" s="158" t="s">
        <v>472</v>
      </c>
      <c r="G64" s="135" t="s">
        <v>441</v>
      </c>
      <c r="H64" s="135" t="s">
        <v>440</v>
      </c>
      <c r="I64" s="157" t="s">
        <v>322</v>
      </c>
      <c r="K64" s="212" t="s">
        <v>323</v>
      </c>
      <c r="L64" s="213" t="str">
        <f>PD!$J$7</f>
        <v>PIC</v>
      </c>
      <c r="M64" s="212" t="s">
        <v>457</v>
      </c>
      <c r="N64" s="212" t="s">
        <v>16</v>
      </c>
    </row>
    <row r="65" spans="2:14" ht="15" customHeight="1" thickTop="1" x14ac:dyDescent="0.25">
      <c r="B65" s="33">
        <v>1</v>
      </c>
      <c r="C65" s="34" t="s">
        <v>324</v>
      </c>
      <c r="D65" s="42">
        <f t="shared" ref="D65:D73" si="6">IFERROR(F65/$E$79,0)</f>
        <v>0</v>
      </c>
      <c r="E65" s="35">
        <f>D65</f>
        <v>0</v>
      </c>
      <c r="F65" s="297">
        <v>0</v>
      </c>
      <c r="G65" s="37">
        <f ca="1">H22</f>
        <v>0</v>
      </c>
      <c r="H65" s="298">
        <v>0</v>
      </c>
      <c r="I65" s="38">
        <f ca="1">SUM(F65:H65)</f>
        <v>0</v>
      </c>
      <c r="K65" s="39">
        <f t="shared" ref="K65:K73" si="7">IFERROR(IF($L$64="PIC",$N65,$M65),0)</f>
        <v>0</v>
      </c>
      <c r="L65" s="6" t="s">
        <v>324</v>
      </c>
      <c r="M65" s="39">
        <v>1</v>
      </c>
      <c r="N65" s="39">
        <v>0</v>
      </c>
    </row>
    <row r="66" spans="2:14" ht="15.75" x14ac:dyDescent="0.25">
      <c r="B66" s="40">
        <f>B65+1</f>
        <v>2</v>
      </c>
      <c r="C66" s="41" t="s">
        <v>325</v>
      </c>
      <c r="D66" s="42">
        <f t="shared" si="6"/>
        <v>0</v>
      </c>
      <c r="E66" s="35">
        <f t="shared" ref="E66:E73" si="8">D66</f>
        <v>0</v>
      </c>
      <c r="F66" s="36">
        <f t="shared" ref="F66:F73" si="9">SUMIF($C$32:$C$48,$C66,$G$32:$G$48)</f>
        <v>0</v>
      </c>
      <c r="G66" s="43">
        <f t="shared" ref="G66:G78" si="10">SUMIF($C$32:$C$48,$C66,$H$32:$H$48)</f>
        <v>0</v>
      </c>
      <c r="H66" s="299">
        <v>0</v>
      </c>
      <c r="I66" s="44">
        <f t="shared" ref="I66:I78" si="11">SUM(F66:H66)</f>
        <v>0</v>
      </c>
      <c r="K66" s="39">
        <f t="shared" si="7"/>
        <v>1</v>
      </c>
      <c r="L66" s="6" t="s">
        <v>325</v>
      </c>
      <c r="M66" s="39">
        <v>1</v>
      </c>
      <c r="N66" s="39">
        <v>1</v>
      </c>
    </row>
    <row r="67" spans="2:14" ht="15.75" x14ac:dyDescent="0.25">
      <c r="B67" s="40">
        <f t="shared" ref="B67:B78" si="12">B66+1</f>
        <v>3</v>
      </c>
      <c r="C67" s="41" t="s">
        <v>70</v>
      </c>
      <c r="D67" s="42">
        <f t="shared" si="6"/>
        <v>0</v>
      </c>
      <c r="E67" s="35">
        <f>D67</f>
        <v>0</v>
      </c>
      <c r="F67" s="36">
        <f t="shared" si="9"/>
        <v>0</v>
      </c>
      <c r="G67" s="43">
        <f t="shared" si="10"/>
        <v>0</v>
      </c>
      <c r="H67" s="299">
        <v>0</v>
      </c>
      <c r="I67" s="44">
        <f t="shared" si="11"/>
        <v>0</v>
      </c>
      <c r="K67" s="39">
        <f t="shared" si="7"/>
        <v>1</v>
      </c>
      <c r="L67" s="6" t="s">
        <v>70</v>
      </c>
      <c r="M67" s="39">
        <v>1</v>
      </c>
      <c r="N67" s="39">
        <v>1</v>
      </c>
    </row>
    <row r="68" spans="2:14" ht="15.75" x14ac:dyDescent="0.25">
      <c r="B68" s="40">
        <f t="shared" si="12"/>
        <v>4</v>
      </c>
      <c r="C68" s="41" t="s">
        <v>173</v>
      </c>
      <c r="D68" s="42">
        <f t="shared" si="6"/>
        <v>0</v>
      </c>
      <c r="E68" s="35">
        <f t="shared" si="8"/>
        <v>0</v>
      </c>
      <c r="F68" s="36">
        <f t="shared" si="9"/>
        <v>0</v>
      </c>
      <c r="G68" s="43">
        <f t="shared" si="10"/>
        <v>0</v>
      </c>
      <c r="H68" s="299">
        <v>0</v>
      </c>
      <c r="I68" s="44">
        <f t="shared" ref="I68:I73" si="13">SUM(F68:H68)</f>
        <v>0</v>
      </c>
      <c r="K68" s="39">
        <f t="shared" si="7"/>
        <v>1</v>
      </c>
      <c r="L68" s="6" t="s">
        <v>173</v>
      </c>
      <c r="M68" s="39">
        <v>1</v>
      </c>
      <c r="N68" s="39">
        <v>1</v>
      </c>
    </row>
    <row r="69" spans="2:14" ht="14.25" customHeight="1" x14ac:dyDescent="0.25">
      <c r="B69" s="40">
        <f t="shared" si="12"/>
        <v>5</v>
      </c>
      <c r="C69" s="41" t="s">
        <v>326</v>
      </c>
      <c r="D69" s="42">
        <f t="shared" si="6"/>
        <v>0</v>
      </c>
      <c r="E69" s="35">
        <f t="shared" si="8"/>
        <v>0</v>
      </c>
      <c r="F69" s="36">
        <f t="shared" si="9"/>
        <v>0</v>
      </c>
      <c r="G69" s="43">
        <f t="shared" si="10"/>
        <v>0</v>
      </c>
      <c r="H69" s="299">
        <v>0</v>
      </c>
      <c r="I69" s="44">
        <f t="shared" si="13"/>
        <v>0</v>
      </c>
      <c r="K69" s="39">
        <f t="shared" si="7"/>
        <v>0</v>
      </c>
      <c r="L69" s="6" t="s">
        <v>326</v>
      </c>
      <c r="M69" s="39">
        <v>0.1</v>
      </c>
      <c r="N69" s="39">
        <v>0</v>
      </c>
    </row>
    <row r="70" spans="2:14" ht="15.75" x14ac:dyDescent="0.25">
      <c r="B70" s="40">
        <f t="shared" si="12"/>
        <v>6</v>
      </c>
      <c r="C70" s="41" t="s">
        <v>327</v>
      </c>
      <c r="D70" s="42">
        <f t="shared" si="6"/>
        <v>0</v>
      </c>
      <c r="E70" s="35">
        <f t="shared" si="8"/>
        <v>0</v>
      </c>
      <c r="F70" s="36">
        <f t="shared" si="9"/>
        <v>0</v>
      </c>
      <c r="G70" s="43">
        <f t="shared" si="10"/>
        <v>0</v>
      </c>
      <c r="H70" s="299">
        <v>0</v>
      </c>
      <c r="I70" s="44">
        <f t="shared" si="13"/>
        <v>0</v>
      </c>
      <c r="K70" s="39">
        <f t="shared" si="7"/>
        <v>0.5</v>
      </c>
      <c r="L70" s="6" t="s">
        <v>327</v>
      </c>
      <c r="M70" s="39">
        <v>1</v>
      </c>
      <c r="N70" s="39">
        <v>0.5</v>
      </c>
    </row>
    <row r="71" spans="2:14" ht="15.75" x14ac:dyDescent="0.25">
      <c r="B71" s="40">
        <f t="shared" si="12"/>
        <v>7</v>
      </c>
      <c r="C71" s="41" t="s">
        <v>575</v>
      </c>
      <c r="D71" s="42">
        <f t="shared" si="6"/>
        <v>0</v>
      </c>
      <c r="E71" s="35">
        <f t="shared" si="8"/>
        <v>0</v>
      </c>
      <c r="F71" s="36">
        <f t="shared" si="9"/>
        <v>0</v>
      </c>
      <c r="G71" s="43">
        <f t="shared" si="10"/>
        <v>0</v>
      </c>
      <c r="H71" s="299">
        <v>0</v>
      </c>
      <c r="I71" s="44">
        <f t="shared" si="13"/>
        <v>0</v>
      </c>
      <c r="K71" s="39">
        <f t="shared" si="7"/>
        <v>0</v>
      </c>
      <c r="L71" s="6" t="s">
        <v>575</v>
      </c>
      <c r="M71" s="39">
        <v>1</v>
      </c>
      <c r="N71" s="39">
        <v>0</v>
      </c>
    </row>
    <row r="72" spans="2:14" ht="15.75" x14ac:dyDescent="0.25">
      <c r="B72" s="40">
        <f t="shared" si="12"/>
        <v>8</v>
      </c>
      <c r="C72" s="41" t="s">
        <v>630</v>
      </c>
      <c r="D72" s="42">
        <f t="shared" si="6"/>
        <v>0</v>
      </c>
      <c r="E72" s="35">
        <f>D72</f>
        <v>0</v>
      </c>
      <c r="F72" s="36">
        <f t="shared" si="9"/>
        <v>0</v>
      </c>
      <c r="G72" s="43">
        <f t="shared" si="10"/>
        <v>0</v>
      </c>
      <c r="H72" s="299">
        <v>0</v>
      </c>
      <c r="I72" s="44">
        <f t="shared" si="13"/>
        <v>0</v>
      </c>
      <c r="K72" s="39">
        <f t="shared" si="7"/>
        <v>0.05</v>
      </c>
      <c r="L72" s="6" t="s">
        <v>630</v>
      </c>
      <c r="M72" s="39">
        <v>0.02</v>
      </c>
      <c r="N72" s="39">
        <v>0.05</v>
      </c>
    </row>
    <row r="73" spans="2:14" ht="15.75" x14ac:dyDescent="0.25">
      <c r="B73" s="40">
        <f t="shared" si="12"/>
        <v>9</v>
      </c>
      <c r="C73" s="41" t="s">
        <v>506</v>
      </c>
      <c r="D73" s="42">
        <f t="shared" si="6"/>
        <v>0</v>
      </c>
      <c r="E73" s="35">
        <f t="shared" si="8"/>
        <v>0</v>
      </c>
      <c r="F73" s="297">
        <f t="shared" si="9"/>
        <v>0</v>
      </c>
      <c r="G73" s="299">
        <f t="shared" si="10"/>
        <v>0</v>
      </c>
      <c r="H73" s="299">
        <v>0</v>
      </c>
      <c r="I73" s="44">
        <f t="shared" si="13"/>
        <v>0</v>
      </c>
      <c r="K73" s="39">
        <f t="shared" si="7"/>
        <v>0</v>
      </c>
      <c r="L73" s="6" t="s">
        <v>506</v>
      </c>
      <c r="M73" s="39">
        <v>0.15</v>
      </c>
      <c r="N73" s="39">
        <v>0</v>
      </c>
    </row>
    <row r="74" spans="2:14" ht="15.75" x14ac:dyDescent="0.25">
      <c r="B74" s="40">
        <f t="shared" si="12"/>
        <v>10</v>
      </c>
      <c r="C74" s="41" t="s">
        <v>328</v>
      </c>
      <c r="D74" s="42">
        <f>IFERROR(F74/$F$79,0)</f>
        <v>0</v>
      </c>
      <c r="E74" s="543" t="s">
        <v>633</v>
      </c>
      <c r="F74" s="544"/>
      <c r="G74" s="301">
        <f t="shared" si="10"/>
        <v>0</v>
      </c>
      <c r="H74" s="299">
        <v>0</v>
      </c>
      <c r="I74" s="44">
        <f t="shared" si="11"/>
        <v>0</v>
      </c>
    </row>
    <row r="75" spans="2:14" ht="15.75" x14ac:dyDescent="0.25">
      <c r="B75" s="40">
        <f t="shared" si="12"/>
        <v>11</v>
      </c>
      <c r="C75" s="41" t="s">
        <v>329</v>
      </c>
      <c r="D75" s="42">
        <f>IFERROR(F75/$F$79,0)</f>
        <v>0</v>
      </c>
      <c r="E75" s="545"/>
      <c r="F75" s="546"/>
      <c r="G75" s="301">
        <f t="shared" si="10"/>
        <v>0</v>
      </c>
      <c r="H75" s="299">
        <v>0</v>
      </c>
      <c r="I75" s="44">
        <f t="shared" si="11"/>
        <v>0</v>
      </c>
    </row>
    <row r="76" spans="2:14" ht="15.75" x14ac:dyDescent="0.25">
      <c r="B76" s="40">
        <f t="shared" si="12"/>
        <v>12</v>
      </c>
      <c r="C76" s="41" t="s">
        <v>634</v>
      </c>
      <c r="D76" s="42">
        <f>IFERROR(F76/$F$79,0)</f>
        <v>0</v>
      </c>
      <c r="E76" s="545"/>
      <c r="F76" s="546"/>
      <c r="G76" s="301">
        <f t="shared" si="10"/>
        <v>0</v>
      </c>
      <c r="H76" s="299">
        <v>0</v>
      </c>
      <c r="I76" s="44">
        <f t="shared" si="11"/>
        <v>0</v>
      </c>
    </row>
    <row r="77" spans="2:14" ht="15.75" x14ac:dyDescent="0.25">
      <c r="B77" s="40">
        <f t="shared" si="12"/>
        <v>13</v>
      </c>
      <c r="C77" s="45" t="s">
        <v>330</v>
      </c>
      <c r="D77" s="42">
        <f>IFERROR(F77/$F$79,0)</f>
        <v>0</v>
      </c>
      <c r="E77" s="545"/>
      <c r="F77" s="546"/>
      <c r="G77" s="301">
        <f t="shared" si="10"/>
        <v>0</v>
      </c>
      <c r="H77" s="299">
        <v>0</v>
      </c>
      <c r="I77" s="44">
        <f t="shared" si="11"/>
        <v>0</v>
      </c>
    </row>
    <row r="78" spans="2:14" ht="16.5" thickBot="1" x14ac:dyDescent="0.3">
      <c r="B78" s="46">
        <f t="shared" si="12"/>
        <v>14</v>
      </c>
      <c r="C78" s="47" t="s">
        <v>635</v>
      </c>
      <c r="D78" s="48">
        <f>IFERROR(F78/$F$79,0)</f>
        <v>0</v>
      </c>
      <c r="E78" s="547"/>
      <c r="F78" s="548"/>
      <c r="G78" s="302">
        <f t="shared" si="10"/>
        <v>0</v>
      </c>
      <c r="H78" s="300">
        <v>0</v>
      </c>
      <c r="I78" s="49">
        <f t="shared" si="11"/>
        <v>0</v>
      </c>
    </row>
    <row r="79" spans="2:14" ht="17.25" thickTop="1" thickBot="1" x14ac:dyDescent="0.3">
      <c r="B79" s="80" t="s">
        <v>331</v>
      </c>
      <c r="C79" s="50" t="s">
        <v>332</v>
      </c>
      <c r="D79" s="230" t="str">
        <f>PD!J7</f>
        <v>PIC</v>
      </c>
      <c r="E79" s="196">
        <v>1000000</v>
      </c>
      <c r="F79" s="51">
        <f>SUM(F65:F78)</f>
        <v>0</v>
      </c>
      <c r="G79" s="51">
        <f ca="1">SUM(G65:G78)</f>
        <v>0</v>
      </c>
      <c r="H79" s="303">
        <v>0</v>
      </c>
      <c r="I79" s="52">
        <f ca="1">SUM(I65:I78)</f>
        <v>0</v>
      </c>
    </row>
    <row r="80" spans="2:14" ht="25.5" customHeight="1" thickBot="1" x14ac:dyDescent="0.3"/>
    <row r="81" spans="2:17" ht="17.25" thickBot="1" x14ac:dyDescent="0.35">
      <c r="B81" s="551" t="s">
        <v>636</v>
      </c>
      <c r="C81" s="552"/>
      <c r="D81" s="552"/>
      <c r="E81" s="549" t="s">
        <v>44</v>
      </c>
      <c r="F81" s="549"/>
      <c r="G81" s="549"/>
      <c r="H81" s="549"/>
      <c r="I81" s="550"/>
    </row>
    <row r="82" spans="2:17" x14ac:dyDescent="0.25"/>
    <row r="83" spans="2:17" ht="15.75" thickBot="1" x14ac:dyDescent="0.3">
      <c r="H83" s="267"/>
      <c r="I83" s="267"/>
    </row>
    <row r="84" spans="2:17" ht="15.75" thickTop="1" x14ac:dyDescent="0.25">
      <c r="H84" s="3" t="s">
        <v>625</v>
      </c>
    </row>
    <row r="85" spans="2:17" x14ac:dyDescent="0.25">
      <c r="P85" s="58"/>
      <c r="Q85" s="58"/>
    </row>
    <row r="86" spans="2:17" x14ac:dyDescent="0.25">
      <c r="P86" s="58"/>
      <c r="Q86" s="58"/>
    </row>
    <row r="87" spans="2:17" x14ac:dyDescent="0.25">
      <c r="P87" s="58"/>
      <c r="Q87" s="58"/>
    </row>
    <row r="88" spans="2:17" x14ac:dyDescent="0.25">
      <c r="P88" s="58"/>
      <c r="Q88" s="58"/>
    </row>
    <row r="89" spans="2:17" x14ac:dyDescent="0.25">
      <c r="P89" s="58"/>
      <c r="Q89" s="58"/>
    </row>
    <row r="90" spans="2:17" x14ac:dyDescent="0.25">
      <c r="P90" s="58"/>
      <c r="Q90" s="58"/>
    </row>
    <row r="91" spans="2:17" x14ac:dyDescent="0.25">
      <c r="P91" s="58"/>
      <c r="Q91" s="58"/>
    </row>
    <row r="92" spans="2:17" x14ac:dyDescent="0.25">
      <c r="P92" s="58"/>
      <c r="Q92" s="58"/>
    </row>
    <row r="93" spans="2:17" x14ac:dyDescent="0.25">
      <c r="P93" s="58"/>
      <c r="Q93" s="58"/>
    </row>
    <row r="94" spans="2:17" x14ac:dyDescent="0.25">
      <c r="P94" s="58"/>
      <c r="Q94" s="58"/>
    </row>
    <row r="95" spans="2:17" x14ac:dyDescent="0.25">
      <c r="P95" s="58"/>
      <c r="Q95" s="58"/>
    </row>
    <row r="96" spans="2:17" x14ac:dyDescent="0.25">
      <c r="P96" s="58"/>
      <c r="Q96" s="58"/>
    </row>
    <row r="97" spans="16:17" x14ac:dyDescent="0.25">
      <c r="P97" s="58"/>
      <c r="Q97" s="58"/>
    </row>
    <row r="98" spans="16:17" x14ac:dyDescent="0.25">
      <c r="P98" s="58"/>
      <c r="Q98" s="58"/>
    </row>
    <row r="99" spans="16:17" x14ac:dyDescent="0.25">
      <c r="P99" s="58"/>
      <c r="Q99" s="58"/>
    </row>
    <row r="100" spans="16:17" x14ac:dyDescent="0.25">
      <c r="P100" s="58"/>
      <c r="Q100" s="58"/>
    </row>
    <row r="101" spans="16:17" x14ac:dyDescent="0.25">
      <c r="P101" s="58"/>
      <c r="Q101" s="58"/>
    </row>
    <row r="102" spans="16:17" x14ac:dyDescent="0.25">
      <c r="P102" s="58"/>
      <c r="Q102" s="58"/>
    </row>
    <row r="103" spans="16:17" x14ac:dyDescent="0.25">
      <c r="P103" s="58"/>
      <c r="Q103" s="58"/>
    </row>
    <row r="104" spans="16:17" x14ac:dyDescent="0.25">
      <c r="P104" s="58"/>
      <c r="Q104" s="58"/>
    </row>
    <row r="105" spans="16:17" x14ac:dyDescent="0.25">
      <c r="P105" s="58"/>
      <c r="Q105" s="58"/>
    </row>
    <row r="106" spans="16:17" x14ac:dyDescent="0.25">
      <c r="P106" s="58"/>
      <c r="Q106" s="58"/>
    </row>
    <row r="107" spans="16:17" x14ac:dyDescent="0.25">
      <c r="P107" s="58"/>
      <c r="Q107" s="58"/>
    </row>
    <row r="108" spans="16:17" x14ac:dyDescent="0.25">
      <c r="P108" s="58"/>
      <c r="Q108" s="58"/>
    </row>
    <row r="109" spans="16:17" x14ac:dyDescent="0.25">
      <c r="P109" s="58"/>
      <c r="Q109" s="58"/>
    </row>
    <row r="110" spans="16:17" x14ac:dyDescent="0.25">
      <c r="P110" s="58"/>
      <c r="Q110" s="58"/>
    </row>
    <row r="111" spans="16:17" x14ac:dyDescent="0.25">
      <c r="P111" s="58"/>
      <c r="Q111" s="58"/>
    </row>
    <row r="112" spans="16:17" x14ac:dyDescent="0.25">
      <c r="P112" s="58"/>
      <c r="Q112" s="58"/>
    </row>
    <row r="113" spans="16:17" x14ac:dyDescent="0.25">
      <c r="P113" s="58"/>
      <c r="Q113" s="58"/>
    </row>
    <row r="114" spans="16:17" x14ac:dyDescent="0.25">
      <c r="P114" s="58"/>
      <c r="Q114" s="58"/>
    </row>
    <row r="115" spans="16:17" x14ac:dyDescent="0.25">
      <c r="P115" s="58"/>
      <c r="Q115" s="58"/>
    </row>
    <row r="116" spans="16:17" x14ac:dyDescent="0.25">
      <c r="P116" s="58"/>
      <c r="Q116" s="58"/>
    </row>
    <row r="117" spans="16:17" x14ac:dyDescent="0.25">
      <c r="P117" s="58"/>
      <c r="Q117" s="58"/>
    </row>
    <row r="118" spans="16:17" x14ac:dyDescent="0.25">
      <c r="P118" s="58"/>
      <c r="Q118" s="58"/>
    </row>
    <row r="119" spans="16:17" x14ac:dyDescent="0.25">
      <c r="P119" s="58"/>
      <c r="Q119" s="58"/>
    </row>
    <row r="120" spans="16:17" x14ac:dyDescent="0.25">
      <c r="P120" s="58"/>
      <c r="Q120" s="58"/>
    </row>
    <row r="121" spans="16:17" x14ac:dyDescent="0.25">
      <c r="P121" s="58"/>
      <c r="Q121" s="58"/>
    </row>
    <row r="122" spans="16:17" x14ac:dyDescent="0.25">
      <c r="P122" s="58"/>
      <c r="Q122" s="58"/>
    </row>
    <row r="123" spans="16:17" x14ac:dyDescent="0.25">
      <c r="P123" s="58"/>
      <c r="Q123" s="58"/>
    </row>
    <row r="124" spans="16:17" x14ac:dyDescent="0.25">
      <c r="P124" s="58"/>
      <c r="Q124" s="58"/>
    </row>
    <row r="125" spans="16:17" x14ac:dyDescent="0.25">
      <c r="P125" s="58"/>
      <c r="Q125" s="58"/>
    </row>
    <row r="126" spans="16:17" x14ac:dyDescent="0.25">
      <c r="P126" s="58"/>
      <c r="Q126" s="58"/>
    </row>
    <row r="127" spans="16:17" x14ac:dyDescent="0.25">
      <c r="P127" s="58"/>
      <c r="Q127" s="58"/>
    </row>
    <row r="128" spans="16:17" x14ac:dyDescent="0.25">
      <c r="P128" s="58"/>
      <c r="Q128" s="58"/>
    </row>
    <row r="129" spans="16:17" x14ac:dyDescent="0.25">
      <c r="P129" s="58"/>
      <c r="Q129" s="58"/>
    </row>
    <row r="130" spans="16:17" x14ac:dyDescent="0.25">
      <c r="P130" s="58"/>
      <c r="Q130" s="58"/>
    </row>
    <row r="131" spans="16:17" x14ac:dyDescent="0.25">
      <c r="P131" s="58"/>
      <c r="Q131" s="58"/>
    </row>
    <row r="132" spans="16:17" x14ac:dyDescent="0.25">
      <c r="P132" s="58"/>
      <c r="Q132" s="58"/>
    </row>
    <row r="133" spans="16:17" x14ac:dyDescent="0.25">
      <c r="P133" s="58"/>
      <c r="Q133" s="58"/>
    </row>
    <row r="134" spans="16:17" x14ac:dyDescent="0.25">
      <c r="P134" s="58"/>
      <c r="Q134" s="58"/>
    </row>
    <row r="135" spans="16:17" x14ac:dyDescent="0.25">
      <c r="P135" s="58"/>
      <c r="Q135" s="58"/>
    </row>
    <row r="136" spans="16:17" x14ac:dyDescent="0.25">
      <c r="P136" s="58"/>
      <c r="Q136" s="58"/>
    </row>
    <row r="137" spans="16:17" x14ac:dyDescent="0.25">
      <c r="P137" s="58"/>
      <c r="Q137" s="58"/>
    </row>
    <row r="138" spans="16:17" x14ac:dyDescent="0.25">
      <c r="P138" s="58"/>
      <c r="Q138" s="58"/>
    </row>
    <row r="139" spans="16:17" x14ac:dyDescent="0.25">
      <c r="P139" s="58"/>
      <c r="Q139" s="58"/>
    </row>
    <row r="140" spans="16:17" x14ac:dyDescent="0.25">
      <c r="P140" s="58"/>
      <c r="Q140" s="58"/>
    </row>
    <row r="141" spans="16:17" x14ac:dyDescent="0.25">
      <c r="P141" s="58"/>
      <c r="Q141" s="58"/>
    </row>
    <row r="142" spans="16:17" x14ac:dyDescent="0.25">
      <c r="P142" s="58"/>
      <c r="Q142" s="58"/>
    </row>
    <row r="143" spans="16:17" x14ac:dyDescent="0.25">
      <c r="P143" s="58"/>
      <c r="Q143" s="58"/>
    </row>
    <row r="144" spans="16:17" x14ac:dyDescent="0.25">
      <c r="P144" s="58"/>
      <c r="Q144" s="58"/>
    </row>
    <row r="145" spans="16:17" x14ac:dyDescent="0.25">
      <c r="P145" s="58"/>
      <c r="Q145" s="58"/>
    </row>
    <row r="146" spans="16:17" x14ac:dyDescent="0.25">
      <c r="P146" s="58"/>
      <c r="Q146" s="58"/>
    </row>
    <row r="147" spans="16:17" x14ac:dyDescent="0.25">
      <c r="P147" s="58"/>
      <c r="Q147" s="58"/>
    </row>
    <row r="148" spans="16:17" x14ac:dyDescent="0.25">
      <c r="P148" s="58"/>
      <c r="Q148" s="58"/>
    </row>
    <row r="149" spans="16:17" x14ac:dyDescent="0.25">
      <c r="P149" s="58"/>
      <c r="Q149" s="58"/>
    </row>
    <row r="150" spans="16:17" x14ac:dyDescent="0.25">
      <c r="P150" s="58"/>
      <c r="Q150" s="58"/>
    </row>
    <row r="151" spans="16:17" x14ac:dyDescent="0.25">
      <c r="P151" s="58"/>
      <c r="Q151" s="58"/>
    </row>
    <row r="152" spans="16:17" x14ac:dyDescent="0.25">
      <c r="P152" s="58"/>
      <c r="Q152" s="58"/>
    </row>
    <row r="153" spans="16:17" x14ac:dyDescent="0.25">
      <c r="P153" s="58"/>
      <c r="Q153" s="58"/>
    </row>
    <row r="154" spans="16:17" x14ac:dyDescent="0.25">
      <c r="P154" s="58"/>
      <c r="Q154" s="58"/>
    </row>
    <row r="155" spans="16:17" x14ac:dyDescent="0.25">
      <c r="P155" s="58"/>
      <c r="Q155" s="58"/>
    </row>
    <row r="156" spans="16:17" x14ac:dyDescent="0.25">
      <c r="P156" s="58"/>
      <c r="Q156" s="58"/>
    </row>
    <row r="157" spans="16:17" x14ac:dyDescent="0.25">
      <c r="P157" s="58"/>
      <c r="Q157" s="58"/>
    </row>
    <row r="158" spans="16:17" x14ac:dyDescent="0.25">
      <c r="P158" s="58"/>
      <c r="Q158" s="58"/>
    </row>
    <row r="159" spans="16:17" x14ac:dyDescent="0.25">
      <c r="P159" s="58"/>
      <c r="Q159" s="58"/>
    </row>
    <row r="160" spans="16:17" x14ac:dyDescent="0.25">
      <c r="P160" s="58"/>
      <c r="Q160" s="58"/>
    </row>
    <row r="161" spans="16:17" x14ac:dyDescent="0.25">
      <c r="P161" s="58"/>
      <c r="Q161" s="58"/>
    </row>
    <row r="162" spans="16:17" x14ac:dyDescent="0.25">
      <c r="P162" s="58"/>
      <c r="Q162" s="58"/>
    </row>
    <row r="163" spans="16:17" x14ac:dyDescent="0.25">
      <c r="P163" s="58"/>
      <c r="Q163" s="58"/>
    </row>
    <row r="164" spans="16:17" x14ac:dyDescent="0.25">
      <c r="P164" s="58"/>
      <c r="Q164" s="58"/>
    </row>
    <row r="165" spans="16:17" x14ac:dyDescent="0.25">
      <c r="P165" s="58"/>
      <c r="Q165" s="58"/>
    </row>
    <row r="166" spans="16:17" x14ac:dyDescent="0.25">
      <c r="P166" s="58"/>
      <c r="Q166" s="58"/>
    </row>
    <row r="167" spans="16:17" x14ac:dyDescent="0.25">
      <c r="P167" s="58"/>
      <c r="Q167" s="58"/>
    </row>
    <row r="168" spans="16:17" x14ac:dyDescent="0.25">
      <c r="P168" s="58"/>
      <c r="Q168" s="58"/>
    </row>
    <row r="169" spans="16:17" x14ac:dyDescent="0.25">
      <c r="P169" s="58"/>
      <c r="Q169" s="58"/>
    </row>
    <row r="170" spans="16:17" x14ac:dyDescent="0.25">
      <c r="P170" s="58"/>
      <c r="Q170" s="58"/>
    </row>
    <row r="171" spans="16:17" x14ac:dyDescent="0.25">
      <c r="P171" s="58"/>
      <c r="Q171" s="58"/>
    </row>
    <row r="172" spans="16:17" x14ac:dyDescent="0.25">
      <c r="P172" s="58"/>
      <c r="Q172" s="58"/>
    </row>
    <row r="173" spans="16:17" x14ac:dyDescent="0.25">
      <c r="P173" s="58"/>
      <c r="Q173" s="58"/>
    </row>
    <row r="174" spans="16:17" x14ac:dyDescent="0.25">
      <c r="P174" s="58"/>
      <c r="Q174" s="58"/>
    </row>
    <row r="175" spans="16:17" x14ac:dyDescent="0.25">
      <c r="P175" s="58"/>
      <c r="Q175" s="58"/>
    </row>
    <row r="176" spans="16:17" x14ac:dyDescent="0.25">
      <c r="P176" s="58"/>
      <c r="Q176" s="58"/>
    </row>
    <row r="177" spans="16:17" x14ac:dyDescent="0.25">
      <c r="P177" s="58"/>
      <c r="Q177" s="58"/>
    </row>
    <row r="178" spans="16:17" x14ac:dyDescent="0.25">
      <c r="P178" s="58"/>
      <c r="Q178" s="58"/>
    </row>
    <row r="179" spans="16:17" x14ac:dyDescent="0.25">
      <c r="P179" s="58"/>
      <c r="Q179" s="58"/>
    </row>
    <row r="180" spans="16:17" x14ac:dyDescent="0.25">
      <c r="P180" s="58"/>
      <c r="Q180" s="58"/>
    </row>
    <row r="181" spans="16:17" x14ac:dyDescent="0.25">
      <c r="P181" s="58"/>
      <c r="Q181" s="58"/>
    </row>
    <row r="182" spans="16:17" x14ac:dyDescent="0.25">
      <c r="P182" s="58"/>
      <c r="Q182" s="58"/>
    </row>
    <row r="183" spans="16:17" x14ac:dyDescent="0.25">
      <c r="P183" s="58"/>
      <c r="Q183" s="58"/>
    </row>
    <row r="184" spans="16:17" x14ac:dyDescent="0.25">
      <c r="P184" s="58"/>
      <c r="Q184" s="58"/>
    </row>
    <row r="185" spans="16:17" x14ac:dyDescent="0.25">
      <c r="P185" s="58"/>
      <c r="Q185" s="58"/>
    </row>
    <row r="186" spans="16:17" x14ac:dyDescent="0.25">
      <c r="P186" s="58"/>
      <c r="Q186" s="58"/>
    </row>
    <row r="187" spans="16:17" x14ac:dyDescent="0.25">
      <c r="P187" s="58"/>
      <c r="Q187" s="58"/>
    </row>
    <row r="188" spans="16:17" x14ac:dyDescent="0.25">
      <c r="P188" s="58"/>
      <c r="Q188" s="58"/>
    </row>
    <row r="189" spans="16:17" x14ac:dyDescent="0.25">
      <c r="P189" s="58"/>
      <c r="Q189" s="58"/>
    </row>
    <row r="190" spans="16:17" x14ac:dyDescent="0.25">
      <c r="P190" s="58"/>
      <c r="Q190" s="58"/>
    </row>
    <row r="191" spans="16:17" x14ac:dyDescent="0.25">
      <c r="P191" s="58"/>
      <c r="Q191" s="58"/>
    </row>
    <row r="192" spans="16:17" x14ac:dyDescent="0.25">
      <c r="P192" s="58"/>
      <c r="Q192" s="58"/>
    </row>
    <row r="193" spans="16:17" x14ac:dyDescent="0.25">
      <c r="P193" s="58"/>
      <c r="Q193" s="58"/>
    </row>
    <row r="194" spans="16:17" x14ac:dyDescent="0.25">
      <c r="P194" s="58"/>
      <c r="Q194" s="58"/>
    </row>
    <row r="195" spans="16:17" x14ac:dyDescent="0.25">
      <c r="P195" s="58"/>
      <c r="Q195" s="58"/>
    </row>
    <row r="196" spans="16:17" x14ac:dyDescent="0.25">
      <c r="P196" s="58"/>
      <c r="Q196" s="58"/>
    </row>
    <row r="197" spans="16:17" x14ac:dyDescent="0.25">
      <c r="P197" s="58"/>
      <c r="Q197" s="58"/>
    </row>
    <row r="198" spans="16:17" x14ac:dyDescent="0.25">
      <c r="P198" s="58"/>
      <c r="Q198" s="58"/>
    </row>
    <row r="199" spans="16:17" x14ac:dyDescent="0.25">
      <c r="P199" s="58"/>
      <c r="Q199" s="58"/>
    </row>
    <row r="200" spans="16:17" x14ac:dyDescent="0.25">
      <c r="P200" s="58"/>
      <c r="Q200" s="58"/>
    </row>
    <row r="201" spans="16:17" x14ac:dyDescent="0.25">
      <c r="P201" s="58"/>
      <c r="Q201" s="58"/>
    </row>
    <row r="202" spans="16:17" x14ac:dyDescent="0.25">
      <c r="P202" s="58"/>
      <c r="Q202" s="58"/>
    </row>
    <row r="203" spans="16:17" x14ac:dyDescent="0.25">
      <c r="P203" s="58"/>
      <c r="Q203" s="58"/>
    </row>
    <row r="204" spans="16:17" x14ac:dyDescent="0.25">
      <c r="P204" s="58"/>
      <c r="Q204" s="58"/>
    </row>
    <row r="205" spans="16:17" x14ac:dyDescent="0.25">
      <c r="P205" s="58"/>
      <c r="Q205" s="58"/>
    </row>
    <row r="206" spans="16:17" x14ac:dyDescent="0.25">
      <c r="P206" s="58"/>
      <c r="Q206" s="58"/>
    </row>
    <row r="207" spans="16:17" x14ac:dyDescent="0.25">
      <c r="P207" s="58"/>
      <c r="Q207" s="58"/>
    </row>
    <row r="208" spans="16:17" x14ac:dyDescent="0.25">
      <c r="P208" s="58"/>
      <c r="Q208" s="58"/>
    </row>
    <row r="209" spans="16:17" x14ac:dyDescent="0.25">
      <c r="P209" s="58"/>
      <c r="Q209" s="58"/>
    </row>
    <row r="210" spans="16:17" x14ac:dyDescent="0.25">
      <c r="P210" s="58"/>
      <c r="Q210" s="58"/>
    </row>
    <row r="211" spans="16:17" x14ac:dyDescent="0.25">
      <c r="P211" s="58"/>
      <c r="Q211" s="58"/>
    </row>
    <row r="212" spans="16:17" x14ac:dyDescent="0.25">
      <c r="P212" s="58"/>
      <c r="Q212" s="58"/>
    </row>
    <row r="213" spans="16:17" x14ac:dyDescent="0.25">
      <c r="P213" s="58"/>
      <c r="Q213" s="58"/>
    </row>
    <row r="214" spans="16:17" x14ac:dyDescent="0.25">
      <c r="P214" s="58"/>
      <c r="Q214" s="58"/>
    </row>
    <row r="215" spans="16:17" x14ac:dyDescent="0.25">
      <c r="P215" s="58"/>
      <c r="Q215" s="58"/>
    </row>
    <row r="216" spans="16:17" x14ac:dyDescent="0.25">
      <c r="P216" s="58"/>
      <c r="Q216" s="58"/>
    </row>
    <row r="217" spans="16:17" x14ac:dyDescent="0.25">
      <c r="P217" s="58"/>
      <c r="Q217" s="58"/>
    </row>
    <row r="218" spans="16:17" x14ac:dyDescent="0.25">
      <c r="P218" s="58"/>
      <c r="Q218" s="58"/>
    </row>
    <row r="219" spans="16:17" x14ac:dyDescent="0.25">
      <c r="P219" s="58"/>
      <c r="Q219" s="58"/>
    </row>
    <row r="220" spans="16:17" x14ac:dyDescent="0.25">
      <c r="P220" s="58"/>
      <c r="Q220" s="58"/>
    </row>
    <row r="221" spans="16:17" x14ac:dyDescent="0.25">
      <c r="P221" s="58"/>
      <c r="Q221" s="58"/>
    </row>
    <row r="222" spans="16:17" x14ac:dyDescent="0.25">
      <c r="P222" s="58"/>
      <c r="Q222" s="58"/>
    </row>
    <row r="223" spans="16:17" x14ac:dyDescent="0.25">
      <c r="P223" s="58"/>
      <c r="Q223" s="58"/>
    </row>
    <row r="224" spans="16:17" x14ac:dyDescent="0.25">
      <c r="P224" s="58"/>
      <c r="Q224" s="58"/>
    </row>
    <row r="225" spans="16:17" x14ac:dyDescent="0.25">
      <c r="P225" s="58"/>
      <c r="Q225" s="58"/>
    </row>
    <row r="226" spans="16:17" x14ac:dyDescent="0.25">
      <c r="P226" s="58"/>
      <c r="Q226" s="58"/>
    </row>
    <row r="227" spans="16:17" x14ac:dyDescent="0.25">
      <c r="P227" s="58"/>
      <c r="Q227" s="58"/>
    </row>
    <row r="228" spans="16:17" x14ac:dyDescent="0.25">
      <c r="P228" s="58"/>
      <c r="Q228" s="58"/>
    </row>
    <row r="229" spans="16:17" x14ac:dyDescent="0.25">
      <c r="P229" s="58"/>
      <c r="Q229" s="58"/>
    </row>
    <row r="230" spans="16:17" x14ac:dyDescent="0.25">
      <c r="P230" s="58"/>
      <c r="Q230" s="58"/>
    </row>
    <row r="231" spans="16:17" x14ac:dyDescent="0.25">
      <c r="P231" s="58"/>
      <c r="Q231" s="58"/>
    </row>
    <row r="232" spans="16:17" x14ac:dyDescent="0.25">
      <c r="P232" s="58"/>
      <c r="Q232" s="58"/>
    </row>
    <row r="233" spans="16:17" x14ac:dyDescent="0.25">
      <c r="P233" s="58"/>
      <c r="Q233" s="58"/>
    </row>
    <row r="234" spans="16:17" x14ac:dyDescent="0.25">
      <c r="P234" s="58"/>
      <c r="Q234" s="58"/>
    </row>
    <row r="235" spans="16:17" x14ac:dyDescent="0.25">
      <c r="P235" s="58"/>
      <c r="Q235" s="58"/>
    </row>
    <row r="236" spans="16:17" x14ac:dyDescent="0.25">
      <c r="P236" s="58"/>
      <c r="Q236" s="58"/>
    </row>
    <row r="237" spans="16:17" x14ac:dyDescent="0.25">
      <c r="P237" s="58"/>
      <c r="Q237" s="58"/>
    </row>
    <row r="238" spans="16:17" x14ac:dyDescent="0.25">
      <c r="P238" s="58"/>
      <c r="Q238" s="58"/>
    </row>
    <row r="239" spans="16:17" x14ac:dyDescent="0.25">
      <c r="P239" s="58"/>
      <c r="Q239" s="58"/>
    </row>
    <row r="240" spans="16:17" x14ac:dyDescent="0.25">
      <c r="P240" s="58"/>
      <c r="Q240" s="58"/>
    </row>
    <row r="241" spans="16:17" x14ac:dyDescent="0.25">
      <c r="P241" s="58"/>
      <c r="Q241" s="58"/>
    </row>
    <row r="242" spans="16:17" x14ac:dyDescent="0.25">
      <c r="P242" s="58"/>
      <c r="Q242" s="58"/>
    </row>
    <row r="243" spans="16:17" x14ac:dyDescent="0.25">
      <c r="P243" s="58"/>
      <c r="Q243" s="58"/>
    </row>
    <row r="244" spans="16:17" x14ac:dyDescent="0.25">
      <c r="P244" s="58"/>
      <c r="Q244" s="58"/>
    </row>
    <row r="245" spans="16:17" x14ac:dyDescent="0.25">
      <c r="P245" s="58"/>
      <c r="Q245" s="58"/>
    </row>
    <row r="246" spans="16:17" x14ac:dyDescent="0.25">
      <c r="P246" s="58"/>
      <c r="Q246" s="58"/>
    </row>
    <row r="247" spans="16:17" x14ac:dyDescent="0.25">
      <c r="P247" s="58"/>
      <c r="Q247" s="58"/>
    </row>
    <row r="248" spans="16:17" x14ac:dyDescent="0.25">
      <c r="P248" s="58"/>
      <c r="Q248" s="58"/>
    </row>
    <row r="249" spans="16:17" x14ac:dyDescent="0.25">
      <c r="P249" s="58"/>
      <c r="Q249" s="58"/>
    </row>
    <row r="250" spans="16:17" x14ac:dyDescent="0.25">
      <c r="P250" s="58"/>
      <c r="Q250" s="58"/>
    </row>
    <row r="251" spans="16:17" x14ac:dyDescent="0.25">
      <c r="P251" s="58"/>
      <c r="Q251" s="58"/>
    </row>
    <row r="252" spans="16:17" x14ac:dyDescent="0.25">
      <c r="P252" s="58"/>
      <c r="Q252" s="58"/>
    </row>
    <row r="253" spans="16:17" x14ac:dyDescent="0.25">
      <c r="P253" s="58"/>
      <c r="Q253" s="58"/>
    </row>
    <row r="254" spans="16:17" x14ac:dyDescent="0.25">
      <c r="P254" s="58"/>
      <c r="Q254" s="58"/>
    </row>
    <row r="255" spans="16:17" x14ac:dyDescent="0.25">
      <c r="P255" s="58"/>
      <c r="Q255" s="58"/>
    </row>
    <row r="256" spans="16:17" x14ac:dyDescent="0.25">
      <c r="P256" s="58"/>
      <c r="Q256" s="58"/>
    </row>
    <row r="257" spans="16:17" x14ac:dyDescent="0.25">
      <c r="P257" s="58"/>
      <c r="Q257" s="58"/>
    </row>
    <row r="258" spans="16:17" x14ac:dyDescent="0.25">
      <c r="P258" s="58"/>
      <c r="Q258" s="58"/>
    </row>
    <row r="259" spans="16:17" x14ac:dyDescent="0.25">
      <c r="P259" s="58"/>
      <c r="Q259" s="58"/>
    </row>
    <row r="260" spans="16:17" x14ac:dyDescent="0.25">
      <c r="P260" s="58"/>
      <c r="Q260" s="58"/>
    </row>
    <row r="261" spans="16:17" x14ac:dyDescent="0.25">
      <c r="P261" s="58"/>
      <c r="Q261" s="58"/>
    </row>
    <row r="262" spans="16:17" x14ac:dyDescent="0.25">
      <c r="P262" s="58"/>
      <c r="Q262" s="58"/>
    </row>
    <row r="263" spans="16:17" x14ac:dyDescent="0.25">
      <c r="P263" s="58"/>
      <c r="Q263" s="58"/>
    </row>
    <row r="264" spans="16:17" x14ac:dyDescent="0.25">
      <c r="P264" s="58"/>
      <c r="Q264" s="58"/>
    </row>
    <row r="265" spans="16:17" x14ac:dyDescent="0.25">
      <c r="P265" s="58"/>
      <c r="Q265" s="58"/>
    </row>
    <row r="266" spans="16:17" x14ac:dyDescent="0.25">
      <c r="P266" s="58"/>
      <c r="Q266" s="58"/>
    </row>
    <row r="267" spans="16:17" x14ac:dyDescent="0.25">
      <c r="P267" s="58"/>
      <c r="Q267" s="58"/>
    </row>
    <row r="268" spans="16:17" x14ac:dyDescent="0.25">
      <c r="P268" s="58"/>
      <c r="Q268" s="58"/>
    </row>
    <row r="269" spans="16:17" x14ac:dyDescent="0.25">
      <c r="P269" s="58"/>
      <c r="Q269" s="58"/>
    </row>
    <row r="270" spans="16:17" x14ac:dyDescent="0.25">
      <c r="P270" s="58"/>
      <c r="Q270" s="58"/>
    </row>
    <row r="271" spans="16:17" x14ac:dyDescent="0.25">
      <c r="P271" s="58"/>
      <c r="Q271" s="58"/>
    </row>
    <row r="272" spans="16:17" x14ac:dyDescent="0.25">
      <c r="P272" s="58"/>
      <c r="Q272" s="58"/>
    </row>
    <row r="273" spans="16:17" x14ac:dyDescent="0.25">
      <c r="P273" s="58"/>
      <c r="Q273" s="58"/>
    </row>
    <row r="274" spans="16:17" x14ac:dyDescent="0.25">
      <c r="P274" s="58"/>
      <c r="Q274" s="58"/>
    </row>
    <row r="275" spans="16:17" x14ac:dyDescent="0.25">
      <c r="P275" s="58"/>
      <c r="Q275" s="58"/>
    </row>
    <row r="276" spans="16:17" x14ac:dyDescent="0.25">
      <c r="P276" s="58"/>
      <c r="Q276" s="58"/>
    </row>
    <row r="277" spans="16:17" x14ac:dyDescent="0.25">
      <c r="P277" s="58"/>
      <c r="Q277" s="58"/>
    </row>
    <row r="278" spans="16:17" x14ac:dyDescent="0.25">
      <c r="P278" s="58"/>
      <c r="Q278" s="58"/>
    </row>
    <row r="279" spans="16:17" x14ac:dyDescent="0.25">
      <c r="P279" s="58"/>
      <c r="Q279" s="58"/>
    </row>
    <row r="280" spans="16:17" x14ac:dyDescent="0.25">
      <c r="P280" s="58"/>
      <c r="Q280" s="58"/>
    </row>
    <row r="281" spans="16:17" x14ac:dyDescent="0.25">
      <c r="P281" s="58"/>
      <c r="Q281" s="58"/>
    </row>
    <row r="282" spans="16:17" x14ac:dyDescent="0.25">
      <c r="P282" s="58"/>
      <c r="Q282" s="58"/>
    </row>
    <row r="283" spans="16:17" x14ac:dyDescent="0.25">
      <c r="P283" s="58"/>
      <c r="Q283" s="58"/>
    </row>
    <row r="284" spans="16:17" x14ac:dyDescent="0.25">
      <c r="P284" s="58"/>
      <c r="Q284" s="58"/>
    </row>
    <row r="285" spans="16:17" x14ac:dyDescent="0.25">
      <c r="P285" s="58"/>
      <c r="Q285" s="58"/>
    </row>
    <row r="286" spans="16:17" x14ac:dyDescent="0.25">
      <c r="P286" s="58"/>
      <c r="Q286" s="58"/>
    </row>
    <row r="287" spans="16:17" x14ac:dyDescent="0.25">
      <c r="P287" s="58"/>
      <c r="Q287" s="58"/>
    </row>
    <row r="288" spans="16:17" x14ac:dyDescent="0.25">
      <c r="P288" s="58"/>
      <c r="Q288" s="58"/>
    </row>
    <row r="289" spans="16:17" x14ac:dyDescent="0.25">
      <c r="P289" s="58"/>
      <c r="Q289" s="58"/>
    </row>
    <row r="290" spans="16:17" x14ac:dyDescent="0.25">
      <c r="P290" s="58"/>
      <c r="Q290" s="58"/>
    </row>
    <row r="291" spans="16:17" x14ac:dyDescent="0.25">
      <c r="P291" s="58"/>
      <c r="Q291" s="58"/>
    </row>
    <row r="292" spans="16:17" x14ac:dyDescent="0.25">
      <c r="P292" s="58"/>
      <c r="Q292" s="58"/>
    </row>
    <row r="293" spans="16:17" x14ac:dyDescent="0.25">
      <c r="P293" s="58"/>
      <c r="Q293" s="58"/>
    </row>
    <row r="294" spans="16:17" x14ac:dyDescent="0.25">
      <c r="P294" s="58"/>
      <c r="Q294" s="58"/>
    </row>
    <row r="295" spans="16:17" x14ac:dyDescent="0.25">
      <c r="P295" s="58"/>
      <c r="Q295" s="58"/>
    </row>
    <row r="296" spans="16:17" x14ac:dyDescent="0.25">
      <c r="P296" s="58"/>
      <c r="Q296" s="58"/>
    </row>
    <row r="297" spans="16:17" x14ac:dyDescent="0.25">
      <c r="P297" s="58"/>
      <c r="Q297" s="58"/>
    </row>
    <row r="298" spans="16:17" x14ac:dyDescent="0.25">
      <c r="P298" s="58"/>
      <c r="Q298" s="58"/>
    </row>
    <row r="299" spans="16:17" x14ac:dyDescent="0.25">
      <c r="P299" s="58"/>
      <c r="Q299" s="58"/>
    </row>
    <row r="300" spans="16:17" x14ac:dyDescent="0.25">
      <c r="P300" s="58"/>
      <c r="Q300" s="58"/>
    </row>
    <row r="301" spans="16:17" x14ac:dyDescent="0.25">
      <c r="P301" s="58"/>
      <c r="Q301" s="58"/>
    </row>
    <row r="302" spans="16:17" x14ac:dyDescent="0.25">
      <c r="P302" s="58"/>
      <c r="Q302" s="58"/>
    </row>
    <row r="303" spans="16:17" x14ac:dyDescent="0.25">
      <c r="P303" s="58"/>
      <c r="Q303" s="58"/>
    </row>
    <row r="304" spans="16:17" x14ac:dyDescent="0.25">
      <c r="P304" s="58"/>
      <c r="Q304" s="58"/>
    </row>
    <row r="305" spans="16:17" x14ac:dyDescent="0.25">
      <c r="P305" s="58"/>
      <c r="Q305" s="58"/>
    </row>
    <row r="306" spans="16:17" x14ac:dyDescent="0.25">
      <c r="P306" s="58"/>
      <c r="Q306" s="58"/>
    </row>
    <row r="307" spans="16:17" x14ac:dyDescent="0.25">
      <c r="P307" s="58"/>
      <c r="Q307" s="58"/>
    </row>
    <row r="308" spans="16:17" x14ac:dyDescent="0.25">
      <c r="P308" s="58"/>
      <c r="Q308" s="58"/>
    </row>
    <row r="309" spans="16:17" hidden="1" x14ac:dyDescent="0.25">
      <c r="P309" s="58"/>
      <c r="Q309" s="58"/>
    </row>
    <row r="310" spans="16:17" hidden="1" x14ac:dyDescent="0.25">
      <c r="P310" s="58"/>
      <c r="Q310" s="58"/>
    </row>
    <row r="311" spans="16:17" hidden="1" x14ac:dyDescent="0.25">
      <c r="P311" s="58"/>
      <c r="Q311" s="58"/>
    </row>
    <row r="312" spans="16:17" hidden="1" x14ac:dyDescent="0.25">
      <c r="P312" s="58"/>
      <c r="Q312" s="58"/>
    </row>
    <row r="313" spans="16:17" hidden="1" x14ac:dyDescent="0.25">
      <c r="P313" s="58"/>
      <c r="Q313" s="58"/>
    </row>
    <row r="314" spans="16:17" hidden="1" x14ac:dyDescent="0.25">
      <c r="P314" s="58"/>
      <c r="Q314" s="58"/>
    </row>
    <row r="315" spans="16:17" hidden="1" x14ac:dyDescent="0.25">
      <c r="P315" s="58"/>
      <c r="Q315" s="58"/>
    </row>
    <row r="316" spans="16:17" hidden="1" x14ac:dyDescent="0.25">
      <c r="P316" s="58"/>
      <c r="Q316" s="58"/>
    </row>
    <row r="317" spans="16:17" hidden="1" x14ac:dyDescent="0.25">
      <c r="P317" s="58"/>
      <c r="Q317" s="58"/>
    </row>
    <row r="318" spans="16:17" x14ac:dyDescent="0.25">
      <c r="P318" s="58"/>
      <c r="Q318" s="58"/>
    </row>
    <row r="319" spans="16:17" x14ac:dyDescent="0.25">
      <c r="P319" s="58"/>
      <c r="Q319" s="58"/>
    </row>
    <row r="320" spans="16:17" x14ac:dyDescent="0.25">
      <c r="P320" s="58"/>
      <c r="Q320" s="58"/>
    </row>
    <row r="321" spans="16:17" x14ac:dyDescent="0.25">
      <c r="P321" s="58"/>
      <c r="Q321" s="58"/>
    </row>
    <row r="322" spans="16:17" x14ac:dyDescent="0.25">
      <c r="P322" s="58"/>
      <c r="Q322" s="58"/>
    </row>
    <row r="323" spans="16:17" x14ac:dyDescent="0.25">
      <c r="P323" s="58"/>
      <c r="Q323" s="58"/>
    </row>
    <row r="324" spans="16:17" x14ac:dyDescent="0.25">
      <c r="P324" s="58"/>
      <c r="Q324" s="58"/>
    </row>
    <row r="325" spans="16:17" x14ac:dyDescent="0.25">
      <c r="P325" s="58"/>
      <c r="Q325" s="58"/>
    </row>
    <row r="326" spans="16:17" x14ac:dyDescent="0.25">
      <c r="P326" s="58"/>
      <c r="Q326" s="58"/>
    </row>
    <row r="327" spans="16:17" x14ac:dyDescent="0.25">
      <c r="P327" s="58"/>
      <c r="Q327" s="58"/>
    </row>
    <row r="328" spans="16:17" x14ac:dyDescent="0.25">
      <c r="P328" s="58"/>
      <c r="Q328" s="58"/>
    </row>
    <row r="329" spans="16:17" x14ac:dyDescent="0.25">
      <c r="P329" s="58"/>
      <c r="Q329" s="58"/>
    </row>
    <row r="330" spans="16:17" x14ac:dyDescent="0.25">
      <c r="P330" s="58"/>
      <c r="Q330" s="58"/>
    </row>
    <row r="331" spans="16:17" x14ac:dyDescent="0.25">
      <c r="P331" s="58"/>
      <c r="Q331" s="58"/>
    </row>
    <row r="332" spans="16:17" x14ac:dyDescent="0.25">
      <c r="P332" s="58"/>
      <c r="Q332" s="58"/>
    </row>
    <row r="333" spans="16:17" x14ac:dyDescent="0.25">
      <c r="P333" s="58"/>
      <c r="Q333" s="58"/>
    </row>
    <row r="334" spans="16:17" x14ac:dyDescent="0.25">
      <c r="P334" s="58"/>
      <c r="Q334" s="58"/>
    </row>
    <row r="335" spans="16:17" x14ac:dyDescent="0.25">
      <c r="P335" s="58"/>
      <c r="Q335" s="58"/>
    </row>
    <row r="336" spans="16:17" x14ac:dyDescent="0.25">
      <c r="P336" s="58"/>
      <c r="Q336" s="58"/>
    </row>
    <row r="337" spans="16:17" x14ac:dyDescent="0.25">
      <c r="P337" s="58"/>
      <c r="Q337" s="58"/>
    </row>
    <row r="338" spans="16:17" x14ac:dyDescent="0.25">
      <c r="P338" s="58"/>
      <c r="Q338" s="58"/>
    </row>
    <row r="339" spans="16:17" x14ac:dyDescent="0.25">
      <c r="P339" s="58"/>
      <c r="Q339" s="58"/>
    </row>
    <row r="340" spans="16:17" x14ac:dyDescent="0.25">
      <c r="P340" s="58"/>
      <c r="Q340" s="58"/>
    </row>
    <row r="341" spans="16:17" x14ac:dyDescent="0.25">
      <c r="P341" s="58"/>
      <c r="Q341" s="58"/>
    </row>
    <row r="342" spans="16:17" x14ac:dyDescent="0.25">
      <c r="P342" s="58"/>
      <c r="Q342" s="58"/>
    </row>
    <row r="343" spans="16:17" x14ac:dyDescent="0.25">
      <c r="P343" s="58"/>
      <c r="Q343" s="58"/>
    </row>
    <row r="344" spans="16:17" x14ac:dyDescent="0.25">
      <c r="P344" s="58"/>
      <c r="Q344" s="58"/>
    </row>
    <row r="345" spans="16:17" x14ac:dyDescent="0.25">
      <c r="P345" s="58"/>
      <c r="Q345" s="58"/>
    </row>
    <row r="346" spans="16:17" x14ac:dyDescent="0.25">
      <c r="P346" s="58"/>
      <c r="Q346" s="58"/>
    </row>
    <row r="347" spans="16:17" x14ac:dyDescent="0.25">
      <c r="P347" s="58"/>
      <c r="Q347" s="58"/>
    </row>
    <row r="348" spans="16:17" x14ac:dyDescent="0.25">
      <c r="P348" s="58"/>
      <c r="Q348" s="58"/>
    </row>
    <row r="349" spans="16:17" x14ac:dyDescent="0.25">
      <c r="P349" s="58"/>
      <c r="Q349" s="58"/>
    </row>
    <row r="350" spans="16:17" x14ac:dyDescent="0.25">
      <c r="P350" s="58"/>
      <c r="Q350" s="58"/>
    </row>
    <row r="351" spans="16:17" x14ac:dyDescent="0.25">
      <c r="P351" s="58"/>
      <c r="Q351" s="58"/>
    </row>
    <row r="352" spans="16:17" x14ac:dyDescent="0.25">
      <c r="P352" s="58"/>
      <c r="Q352" s="58"/>
    </row>
    <row r="353" spans="16:17" x14ac:dyDescent="0.25">
      <c r="P353" s="58"/>
      <c r="Q353" s="58"/>
    </row>
    <row r="354" spans="16:17" x14ac:dyDescent="0.25">
      <c r="P354" s="58"/>
      <c r="Q354" s="58"/>
    </row>
    <row r="355" spans="16:17" x14ac:dyDescent="0.25">
      <c r="P355" s="58"/>
      <c r="Q355" s="58"/>
    </row>
    <row r="356" spans="16:17" x14ac:dyDescent="0.25">
      <c r="P356" s="58"/>
      <c r="Q356" s="58"/>
    </row>
    <row r="357" spans="16:17" x14ac:dyDescent="0.25">
      <c r="P357" s="58"/>
      <c r="Q357" s="58"/>
    </row>
    <row r="358" spans="16:17" x14ac:dyDescent="0.25">
      <c r="P358" s="58"/>
      <c r="Q358" s="58"/>
    </row>
    <row r="359" spans="16:17" x14ac:dyDescent="0.25">
      <c r="P359" s="58"/>
      <c r="Q359" s="58"/>
    </row>
    <row r="360" spans="16:17" x14ac:dyDescent="0.25">
      <c r="P360" s="58"/>
      <c r="Q360" s="58"/>
    </row>
    <row r="361" spans="16:17" x14ac:dyDescent="0.25">
      <c r="P361" s="58"/>
      <c r="Q361" s="58"/>
    </row>
    <row r="362" spans="16:17" x14ac:dyDescent="0.25">
      <c r="P362" s="58"/>
      <c r="Q362" s="58"/>
    </row>
    <row r="363" spans="16:17" x14ac:dyDescent="0.25">
      <c r="P363" s="58"/>
      <c r="Q363" s="58"/>
    </row>
    <row r="364" spans="16:17" x14ac:dyDescent="0.25">
      <c r="P364" s="58"/>
      <c r="Q364" s="58"/>
    </row>
    <row r="365" spans="16:17" x14ac:dyDescent="0.25">
      <c r="P365" s="58"/>
      <c r="Q365" s="58"/>
    </row>
    <row r="366" spans="16:17" x14ac:dyDescent="0.25">
      <c r="P366" s="58"/>
      <c r="Q366" s="58"/>
    </row>
    <row r="367" spans="16:17" x14ac:dyDescent="0.25">
      <c r="P367" s="58"/>
      <c r="Q367" s="58"/>
    </row>
    <row r="368" spans="16:17" x14ac:dyDescent="0.25">
      <c r="P368" s="58"/>
      <c r="Q368" s="58"/>
    </row>
    <row r="369" spans="16:17" x14ac:dyDescent="0.25">
      <c r="P369" s="58"/>
      <c r="Q369" s="58"/>
    </row>
    <row r="370" spans="16:17" x14ac:dyDescent="0.25">
      <c r="P370" s="58"/>
      <c r="Q370" s="58"/>
    </row>
    <row r="371" spans="16:17" x14ac:dyDescent="0.25">
      <c r="P371" s="58"/>
      <c r="Q371" s="58"/>
    </row>
    <row r="372" spans="16:17" x14ac:dyDescent="0.25">
      <c r="P372" s="58"/>
      <c r="Q372" s="58"/>
    </row>
    <row r="373" spans="16:17" hidden="1" x14ac:dyDescent="0.25">
      <c r="P373" s="58"/>
      <c r="Q373" s="58"/>
    </row>
    <row r="374" spans="16:17" hidden="1" x14ac:dyDescent="0.25"/>
    <row r="375" spans="16:17" hidden="1" x14ac:dyDescent="0.25"/>
    <row r="376" spans="16:17" hidden="1" x14ac:dyDescent="0.25"/>
    <row r="377" spans="16:17" hidden="1" x14ac:dyDescent="0.25"/>
    <row r="378" spans="16:17" hidden="1" x14ac:dyDescent="0.25"/>
    <row r="379" spans="16:17" hidden="1" x14ac:dyDescent="0.25"/>
    <row r="380" spans="16:17" hidden="1" x14ac:dyDescent="0.25"/>
    <row r="381" spans="16:17" hidden="1" x14ac:dyDescent="0.25"/>
    <row r="382" spans="16:17" hidden="1" x14ac:dyDescent="0.25"/>
    <row r="383" spans="16:17" hidden="1" x14ac:dyDescent="0.25"/>
    <row r="384" spans="16:17"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x14ac:dyDescent="0.25"/>
    <row r="471" hidden="1" x14ac:dyDescent="0.25"/>
    <row r="472" x14ac:dyDescent="0.25"/>
    <row r="473" x14ac:dyDescent="0.25"/>
    <row r="474" x14ac:dyDescent="0.25"/>
    <row r="475" x14ac:dyDescent="0.25"/>
    <row r="476" x14ac:dyDescent="0.25"/>
    <row r="477" x14ac:dyDescent="0.25"/>
    <row r="478" x14ac:dyDescent="0.25"/>
    <row r="479" x14ac:dyDescent="0.25"/>
    <row r="480" x14ac:dyDescent="0.25"/>
    <row r="481" x14ac:dyDescent="0.25"/>
    <row r="482" x14ac:dyDescent="0.25"/>
    <row r="483" x14ac:dyDescent="0.25"/>
    <row r="484" x14ac:dyDescent="0.25"/>
    <row r="485" x14ac:dyDescent="0.25"/>
    <row r="486" x14ac:dyDescent="0.25"/>
    <row r="487" x14ac:dyDescent="0.25"/>
    <row r="488" x14ac:dyDescent="0.25"/>
    <row r="489" x14ac:dyDescent="0.25"/>
    <row r="490" x14ac:dyDescent="0.25"/>
    <row r="491" x14ac:dyDescent="0.25"/>
    <row r="492" hidden="1" x14ac:dyDescent="0.25"/>
  </sheetData>
  <sheetProtection algorithmName="SHA-512" hashValue="TBQzHO2bofhgbVU56yHQGntWWL0Urp3MwOjXWtodJjU+BYAN6gGirF2gVecbUWR+yN3oCG2Qck6dlEY2OMqMxg==" saltValue="ff4stIsSXOx8B+ijiLQqzA==" spinCount="100000" sheet="1" objects="1" scenarios="1"/>
  <mergeCells count="26">
    <mergeCell ref="E38:F38"/>
    <mergeCell ref="E39:F39"/>
    <mergeCell ref="E45:F45"/>
    <mergeCell ref="E46:F46"/>
    <mergeCell ref="E47:F47"/>
    <mergeCell ref="E40:F40"/>
    <mergeCell ref="E41:F41"/>
    <mergeCell ref="E42:F42"/>
    <mergeCell ref="E43:F43"/>
    <mergeCell ref="E44:F44"/>
    <mergeCell ref="E33:F33"/>
    <mergeCell ref="E34:F34"/>
    <mergeCell ref="E35:F35"/>
    <mergeCell ref="E36:F36"/>
    <mergeCell ref="E37:F37"/>
    <mergeCell ref="C28:I28"/>
    <mergeCell ref="D29:I29"/>
    <mergeCell ref="E31:F31"/>
    <mergeCell ref="E32:F32"/>
    <mergeCell ref="B4:I5"/>
    <mergeCell ref="C58:I58"/>
    <mergeCell ref="D59:I59"/>
    <mergeCell ref="C64:E64"/>
    <mergeCell ref="E74:F78"/>
    <mergeCell ref="E81:I81"/>
    <mergeCell ref="B81:D81"/>
  </mergeCells>
  <conditionalFormatting sqref="E65:E73">
    <cfRule type="dataBar" priority="28">
      <dataBar>
        <cfvo type="min"/>
        <cfvo type="max"/>
        <color rgb="FF008AEF"/>
      </dataBar>
      <extLst>
        <ext xmlns:x14="http://schemas.microsoft.com/office/spreadsheetml/2009/9/main" uri="{B025F937-C7B1-47D3-B67F-A62EFF666E3E}">
          <x14:id>{AF0284C9-A49B-44E9-BD02-CE0B5ACBE324}</x14:id>
        </ext>
      </extLst>
    </cfRule>
  </conditionalFormatting>
  <conditionalFormatting sqref="F79">
    <cfRule type="cellIs" dxfId="5" priority="9" operator="greaterThan">
      <formula>$E$79</formula>
    </cfRule>
  </conditionalFormatting>
  <conditionalFormatting sqref="E81:I81">
    <cfRule type="cellIs" dxfId="4" priority="6" operator="equal">
      <formula>0</formula>
    </cfRule>
  </conditionalFormatting>
  <conditionalFormatting sqref="E73">
    <cfRule type="dataBar" priority="5">
      <dataBar>
        <cfvo type="min"/>
        <cfvo type="max"/>
        <color rgb="FF008AEF"/>
      </dataBar>
      <extLst>
        <ext xmlns:x14="http://schemas.microsoft.com/office/spreadsheetml/2009/9/main" uri="{B025F937-C7B1-47D3-B67F-A62EFF666E3E}">
          <x14:id>{CFFA9B36-3581-4A80-BA6D-96A24860B0B0}</x14:id>
        </ext>
      </extLst>
    </cfRule>
  </conditionalFormatting>
  <conditionalFormatting sqref="D65:D73">
    <cfRule type="cellIs" dxfId="3" priority="29" operator="greaterThan">
      <formula>K65</formula>
    </cfRule>
  </conditionalFormatting>
  <conditionalFormatting sqref="D59:I59">
    <cfRule type="cellIs" dxfId="2" priority="3" operator="equal">
      <formula>0</formula>
    </cfRule>
  </conditionalFormatting>
  <conditionalFormatting sqref="D29:I29">
    <cfRule type="cellIs" dxfId="1" priority="2" operator="equal">
      <formula>0</formula>
    </cfRule>
  </conditionalFormatting>
  <conditionalFormatting sqref="F49:G49 G48">
    <cfRule type="cellIs" dxfId="0" priority="1" operator="greaterThan">
      <formula>1000000</formula>
    </cfRule>
  </conditionalFormatting>
  <dataValidations xWindow="281" yWindow="612" count="7">
    <dataValidation type="whole" allowBlank="1" showInputMessage="1" showErrorMessage="1" errorTitle="Valor de Sueldo Neto." error="Nota: se debe poner el suldo neto, si quiere que no se vea en los soportes puede poner la fuente del texto en color blanco, para que no sea visible." sqref="C12:C21">
      <formula1>0</formula1>
      <formula2>100000000</formula2>
    </dataValidation>
    <dataValidation type="whole" operator="greaterThan" allowBlank="1" showInputMessage="1" showErrorMessage="1" errorTitle="Número entero" error="Corresponde a la cantidad de Items a los que se refiere . No olvide que debe colocar el Total en las correspondietes columnas." sqref="D47">
      <formula1>0</formula1>
    </dataValidation>
    <dataValidation type="list" allowBlank="1" showInputMessage="1" showErrorMessage="1" sqref="C47">
      <formula1>TP_Rubro</formula1>
    </dataValidation>
    <dataValidation type="whole" allowBlank="1" showInputMessage="1" showErrorMessage="1" sqref="H32:I47 G47">
      <formula1>0</formula1>
      <formula2>$L$30</formula2>
    </dataValidation>
    <dataValidation type="whole" allowBlank="1" showInputMessage="1" showErrorMessage="1" errorTitle="Número entero del año" error="Corresponde al año en que se ejecuta el recurso presupuestal." sqref="D32:D46">
      <formula1>1</formula1>
      <formula2>2</formula2>
    </dataValidation>
    <dataValidation type="list" allowBlank="1" showInputMessage="1" showErrorMessage="1" sqref="C32:C46">
      <formula1>$L$50:$L$52</formula1>
    </dataValidation>
    <dataValidation type="whole" allowBlank="1" showInputMessage="1" showErrorMessage="1" errorTitle="Error:" error="Número entero menor de $1'000.000 de pesos." sqref="G33:G46">
      <formula1>0</formula1>
      <formula2>$L$30</formula2>
    </dataValidation>
  </dataValidations>
  <printOptions horizontalCentered="1"/>
  <pageMargins left="0.70866141732283472" right="0.70866141732283472" top="0.74803149606299213" bottom="0.74803149606299213" header="0.31496062992125984" footer="0.31496062992125984"/>
  <pageSetup scale="63" orientation="portrait" r:id="rId1"/>
  <rowBreaks count="1" manualBreakCount="1">
    <brk id="52"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dataBar" id="{AF0284C9-A49B-44E9-BD02-CE0B5ACBE324}">
            <x14:dataBar minLength="0" maxLength="100" gradient="0">
              <x14:cfvo type="autoMin"/>
              <x14:cfvo type="autoMax"/>
              <x14:negativeFillColor rgb="FFFF0000"/>
              <x14:axisColor rgb="FF000000"/>
            </x14:dataBar>
          </x14:cfRule>
          <xm:sqref>E65:E73</xm:sqref>
        </x14:conditionalFormatting>
        <x14:conditionalFormatting xmlns:xm="http://schemas.microsoft.com/office/excel/2006/main">
          <x14:cfRule type="dataBar" id="{CFFA9B36-3581-4A80-BA6D-96A24860B0B0}">
            <x14:dataBar minLength="0" maxLength="100" gradient="0">
              <x14:cfvo type="autoMin"/>
              <x14:cfvo type="autoMax"/>
              <x14:negativeFillColor rgb="FFFF0000"/>
              <x14:axisColor rgb="FF000000"/>
            </x14:dataBar>
          </x14:cfRule>
          <xm:sqref>E73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dimension ref="C1:N21"/>
  <sheetViews>
    <sheetView showGridLines="0" view="pageBreakPreview" topLeftCell="B4" zoomScale="85" zoomScaleNormal="85" zoomScaleSheetLayoutView="85" workbookViewId="0">
      <selection activeCell="J12" sqref="J12"/>
    </sheetView>
  </sheetViews>
  <sheetFormatPr baseColWidth="10" defaultRowHeight="15" x14ac:dyDescent="0.25"/>
  <cols>
    <col min="1" max="2" width="4.42578125" customWidth="1"/>
    <col min="3" max="3" width="4.5703125" bestFit="1" customWidth="1"/>
    <col min="4" max="4" width="17.140625" customWidth="1"/>
    <col min="5" max="5" width="16.85546875" customWidth="1"/>
    <col min="6" max="6" width="13.7109375" customWidth="1"/>
    <col min="7" max="7" width="19.42578125" customWidth="1"/>
    <col min="8" max="8" width="17.140625" customWidth="1"/>
    <col min="9" max="9" width="23.85546875" customWidth="1"/>
    <col min="10" max="10" width="4.28515625" customWidth="1"/>
    <col min="12" max="12" width="11.85546875" bestFit="1" customWidth="1"/>
  </cols>
  <sheetData>
    <row r="1" spans="3:14" ht="25.5" customHeight="1" x14ac:dyDescent="0.25"/>
    <row r="2" spans="3:14" ht="92.25" customHeight="1" thickBot="1" x14ac:dyDescent="0.3"/>
    <row r="3" spans="3:14" ht="7.5" hidden="1" customHeight="1" thickBot="1" x14ac:dyDescent="0.3"/>
    <row r="4" spans="3:14" ht="48" thickBot="1" x14ac:dyDescent="0.3">
      <c r="C4" s="387" t="str">
        <f>Datos_Generales!B3</f>
        <v>PRESENTACIÓN DE PROYECTOS 
DE INICIACIÓN CIENTIFÍCA 2018 - 2</v>
      </c>
      <c r="D4" s="388"/>
      <c r="E4" s="388"/>
      <c r="F4" s="388"/>
      <c r="G4" s="388"/>
      <c r="H4" s="221" t="s">
        <v>465</v>
      </c>
      <c r="I4" s="222" t="s">
        <v>467</v>
      </c>
    </row>
    <row r="5" spans="3:14" ht="32.25" thickBot="1" x14ac:dyDescent="0.3">
      <c r="C5" s="390"/>
      <c r="D5" s="391"/>
      <c r="E5" s="391"/>
      <c r="F5" s="391"/>
      <c r="G5" s="391"/>
      <c r="H5" s="221" t="s">
        <v>466</v>
      </c>
      <c r="I5" s="223" t="s">
        <v>468</v>
      </c>
      <c r="L5" s="68">
        <f>SUM(L10:L133)</f>
        <v>0</v>
      </c>
    </row>
    <row r="6" spans="3:14" x14ac:dyDescent="0.25">
      <c r="L6">
        <f>COUNTIF(L11:L21,"&lt;&gt;"&amp;0)</f>
        <v>0</v>
      </c>
    </row>
    <row r="7" spans="3:14" ht="15.75" x14ac:dyDescent="0.25">
      <c r="C7" s="21" t="s">
        <v>490</v>
      </c>
      <c r="D7" s="22" t="s">
        <v>410</v>
      </c>
      <c r="E7" s="23"/>
      <c r="F7" s="23"/>
      <c r="G7" s="23"/>
      <c r="H7" s="23"/>
      <c r="I7" s="23"/>
      <c r="L7" s="74" t="s">
        <v>342</v>
      </c>
    </row>
    <row r="8" spans="3:14" ht="15.75" x14ac:dyDescent="0.25">
      <c r="C8" s="21" t="s">
        <v>413</v>
      </c>
      <c r="D8" s="22" t="s">
        <v>586</v>
      </c>
      <c r="E8" s="23"/>
      <c r="F8" s="23"/>
      <c r="G8" s="23"/>
      <c r="H8" s="23"/>
      <c r="I8" s="23"/>
      <c r="L8" s="96" t="s">
        <v>464</v>
      </c>
    </row>
    <row r="9" spans="3:14" ht="14.1" customHeight="1" thickBot="1" x14ac:dyDescent="0.3">
      <c r="L9" s="199" t="s">
        <v>360</v>
      </c>
      <c r="N9" s="141"/>
    </row>
    <row r="10" spans="3:14" ht="21.75" customHeight="1" thickBot="1" x14ac:dyDescent="0.3">
      <c r="C10" s="145" t="s">
        <v>417</v>
      </c>
      <c r="D10" s="146" t="s">
        <v>416</v>
      </c>
      <c r="E10" s="561" t="s">
        <v>274</v>
      </c>
      <c r="F10" s="562"/>
      <c r="G10" s="562"/>
      <c r="H10" s="562"/>
      <c r="I10" s="563"/>
      <c r="N10" s="141"/>
    </row>
    <row r="11" spans="3:14" ht="60" customHeight="1" x14ac:dyDescent="0.25">
      <c r="C11" s="142">
        <v>1</v>
      </c>
      <c r="D11" s="147"/>
      <c r="E11" s="564"/>
      <c r="F11" s="565"/>
      <c r="G11" s="565"/>
      <c r="H11" s="565"/>
      <c r="I11" s="566"/>
      <c r="L11" s="68">
        <f>LEN(E11)</f>
        <v>0</v>
      </c>
    </row>
    <row r="12" spans="3:14" ht="60" customHeight="1" x14ac:dyDescent="0.25">
      <c r="C12" s="76">
        <f>C11+1</f>
        <v>2</v>
      </c>
      <c r="D12" s="148"/>
      <c r="E12" s="475"/>
      <c r="F12" s="476"/>
      <c r="G12" s="476"/>
      <c r="H12" s="476"/>
      <c r="I12" s="560"/>
      <c r="L12" s="68">
        <f t="shared" ref="L12:L21" si="0">LEN(E12)</f>
        <v>0</v>
      </c>
    </row>
    <row r="13" spans="3:14" ht="60" customHeight="1" x14ac:dyDescent="0.25">
      <c r="C13" s="144">
        <f t="shared" ref="C13:C20" si="1">C12+1</f>
        <v>3</v>
      </c>
      <c r="D13" s="147"/>
      <c r="E13" s="478"/>
      <c r="F13" s="479"/>
      <c r="G13" s="479"/>
      <c r="H13" s="479"/>
      <c r="I13" s="559"/>
      <c r="L13" s="68">
        <f t="shared" si="0"/>
        <v>0</v>
      </c>
    </row>
    <row r="14" spans="3:14" ht="60" customHeight="1" x14ac:dyDescent="0.25">
      <c r="C14" s="143">
        <f t="shared" si="1"/>
        <v>4</v>
      </c>
      <c r="D14" s="148"/>
      <c r="E14" s="475"/>
      <c r="F14" s="476"/>
      <c r="G14" s="476"/>
      <c r="H14" s="476"/>
      <c r="I14" s="560"/>
      <c r="L14" s="68">
        <f t="shared" si="0"/>
        <v>0</v>
      </c>
    </row>
    <row r="15" spans="3:14" ht="60" customHeight="1" x14ac:dyDescent="0.25">
      <c r="C15" s="144">
        <f t="shared" si="1"/>
        <v>5</v>
      </c>
      <c r="D15" s="147"/>
      <c r="E15" s="478"/>
      <c r="F15" s="479"/>
      <c r="G15" s="479"/>
      <c r="H15" s="479"/>
      <c r="I15" s="559"/>
      <c r="L15" s="68">
        <f t="shared" si="0"/>
        <v>0</v>
      </c>
    </row>
    <row r="16" spans="3:14" ht="60" customHeight="1" x14ac:dyDescent="0.25">
      <c r="C16" s="144">
        <f t="shared" si="1"/>
        <v>6</v>
      </c>
      <c r="D16" s="148"/>
      <c r="E16" s="475"/>
      <c r="F16" s="476"/>
      <c r="G16" s="476"/>
      <c r="H16" s="476"/>
      <c r="I16" s="560"/>
      <c r="L16" s="68">
        <f t="shared" si="0"/>
        <v>0</v>
      </c>
    </row>
    <row r="17" spans="3:12" ht="60" customHeight="1" x14ac:dyDescent="0.25">
      <c r="C17" s="144">
        <f t="shared" si="1"/>
        <v>7</v>
      </c>
      <c r="D17" s="147"/>
      <c r="E17" s="478"/>
      <c r="F17" s="479"/>
      <c r="G17" s="479"/>
      <c r="H17" s="479"/>
      <c r="I17" s="559"/>
      <c r="L17" s="68">
        <f t="shared" si="0"/>
        <v>0</v>
      </c>
    </row>
    <row r="18" spans="3:12" ht="60" customHeight="1" x14ac:dyDescent="0.25">
      <c r="C18" s="144">
        <f t="shared" si="1"/>
        <v>8</v>
      </c>
      <c r="D18" s="148"/>
      <c r="E18" s="475"/>
      <c r="F18" s="476"/>
      <c r="G18" s="476"/>
      <c r="H18" s="476"/>
      <c r="I18" s="560"/>
      <c r="L18" s="68">
        <f t="shared" si="0"/>
        <v>0</v>
      </c>
    </row>
    <row r="19" spans="3:12" ht="60" customHeight="1" x14ac:dyDescent="0.25">
      <c r="C19" s="144">
        <f t="shared" si="1"/>
        <v>9</v>
      </c>
      <c r="D19" s="147"/>
      <c r="E19" s="478"/>
      <c r="F19" s="479"/>
      <c r="G19" s="479"/>
      <c r="H19" s="479"/>
      <c r="I19" s="559"/>
      <c r="L19" s="68">
        <f t="shared" si="0"/>
        <v>0</v>
      </c>
    </row>
    <row r="20" spans="3:12" ht="60" customHeight="1" x14ac:dyDescent="0.25">
      <c r="C20" s="144">
        <f t="shared" si="1"/>
        <v>10</v>
      </c>
      <c r="D20" s="148"/>
      <c r="E20" s="475"/>
      <c r="F20" s="476"/>
      <c r="G20" s="476"/>
      <c r="H20" s="476"/>
      <c r="I20" s="560"/>
      <c r="L20" s="68">
        <f t="shared" si="0"/>
        <v>0</v>
      </c>
    </row>
    <row r="21" spans="3:12" x14ac:dyDescent="0.25">
      <c r="L21" s="68">
        <f t="shared" si="0"/>
        <v>0</v>
      </c>
    </row>
  </sheetData>
  <sheetProtection formatCells="0" formatColumns="0" formatRows="0" insertRows="0" deleteRows="0" selectLockedCells="1" autoFilter="0"/>
  <mergeCells count="12">
    <mergeCell ref="C4:G5"/>
    <mergeCell ref="E15:I15"/>
    <mergeCell ref="E20:I20"/>
    <mergeCell ref="E10:I10"/>
    <mergeCell ref="E11:I11"/>
    <mergeCell ref="E12:I12"/>
    <mergeCell ref="E13:I13"/>
    <mergeCell ref="E14:I14"/>
    <mergeCell ref="E16:I16"/>
    <mergeCell ref="E17:I17"/>
    <mergeCell ref="E18:I18"/>
    <mergeCell ref="E19:I19"/>
  </mergeCells>
  <dataValidations count="1">
    <dataValidation type="list" allowBlank="1" showInputMessage="1" showErrorMessage="1" sqref="D11:D20">
      <formula1>TpImpac</formula1>
    </dataValidation>
  </dataValidation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3"/>
  <dimension ref="C1:N35"/>
  <sheetViews>
    <sheetView showGridLines="0" view="pageBreakPreview" topLeftCell="A10" zoomScale="70" zoomScaleNormal="85" zoomScaleSheetLayoutView="70" workbookViewId="0">
      <selection activeCell="D15" sqref="D15:I15"/>
    </sheetView>
  </sheetViews>
  <sheetFormatPr baseColWidth="10" defaultRowHeight="15" x14ac:dyDescent="0.25"/>
  <cols>
    <col min="1" max="2" width="4.42578125" customWidth="1"/>
    <col min="3" max="3" width="3.42578125" customWidth="1"/>
    <col min="4" max="4" width="17.140625" customWidth="1"/>
    <col min="5" max="5" width="16.85546875" customWidth="1"/>
    <col min="6" max="6" width="13.7109375" customWidth="1"/>
    <col min="7" max="7" width="19.42578125" customWidth="1"/>
    <col min="8" max="8" width="17.140625" customWidth="1"/>
    <col min="9" max="9" width="23.85546875" customWidth="1"/>
    <col min="10" max="10" width="7.42578125" customWidth="1"/>
    <col min="11" max="11" width="5.85546875" customWidth="1"/>
    <col min="12" max="12" width="11.85546875" bestFit="1" customWidth="1"/>
  </cols>
  <sheetData>
    <row r="1" spans="3:14" ht="25.5" customHeight="1" x14ac:dyDescent="0.25"/>
    <row r="2" spans="3:14" ht="100.5" customHeight="1" thickBot="1" x14ac:dyDescent="0.3"/>
    <row r="3" spans="3:14" ht="7.5" hidden="1" customHeight="1" thickBot="1" x14ac:dyDescent="0.3"/>
    <row r="4" spans="3:14" ht="48" thickBot="1" x14ac:dyDescent="0.3">
      <c r="C4" s="387" t="str">
        <f>Datos_Generales!B3</f>
        <v>PRESENTACIÓN DE PROYECTOS 
DE INICIACIÓN CIENTIFÍCA 2018 - 2</v>
      </c>
      <c r="D4" s="388"/>
      <c r="E4" s="388"/>
      <c r="F4" s="388"/>
      <c r="G4" s="388"/>
      <c r="H4" s="221" t="s">
        <v>465</v>
      </c>
      <c r="I4" s="222" t="s">
        <v>467</v>
      </c>
    </row>
    <row r="5" spans="3:14" ht="32.25" thickBot="1" x14ac:dyDescent="0.3">
      <c r="C5" s="390"/>
      <c r="D5" s="391"/>
      <c r="E5" s="391"/>
      <c r="F5" s="391"/>
      <c r="G5" s="391"/>
      <c r="H5" s="221" t="s">
        <v>466</v>
      </c>
      <c r="I5" s="223" t="s">
        <v>491</v>
      </c>
      <c r="L5" s="68">
        <f>COUNTIF(L11:L35,0)</f>
        <v>9</v>
      </c>
    </row>
    <row r="6" spans="3:14" ht="15.75" x14ac:dyDescent="0.25">
      <c r="L6" s="74" t="s">
        <v>342</v>
      </c>
    </row>
    <row r="7" spans="3:14" ht="15.75" x14ac:dyDescent="0.25">
      <c r="C7" s="21" t="s">
        <v>489</v>
      </c>
      <c r="D7" s="22" t="s">
        <v>493</v>
      </c>
      <c r="E7" s="23"/>
      <c r="F7" s="23"/>
      <c r="G7" s="23"/>
      <c r="H7" s="23"/>
      <c r="I7" s="23"/>
      <c r="L7" s="96" t="s">
        <v>464</v>
      </c>
    </row>
    <row r="8" spans="3:14" ht="14.1" customHeight="1" x14ac:dyDescent="0.25">
      <c r="D8" s="235" t="s">
        <v>505</v>
      </c>
      <c r="N8" s="141"/>
    </row>
    <row r="9" spans="3:14" ht="14.1" customHeight="1" x14ac:dyDescent="0.25">
      <c r="N9" s="141"/>
    </row>
    <row r="10" spans="3:14" ht="14.1" customHeight="1" thickBot="1" x14ac:dyDescent="0.3">
      <c r="C10" t="s">
        <v>411</v>
      </c>
      <c r="D10" t="s">
        <v>492</v>
      </c>
      <c r="L10" s="251">
        <f>SUM(L11:L35)</f>
        <v>0</v>
      </c>
      <c r="N10" s="141"/>
    </row>
    <row r="11" spans="3:14" ht="27" customHeight="1" thickBot="1" x14ac:dyDescent="0.3">
      <c r="D11" s="369"/>
      <c r="E11" s="370"/>
      <c r="F11" s="370"/>
      <c r="G11" s="370"/>
      <c r="H11" s="370"/>
      <c r="I11" s="371"/>
      <c r="L11" s="252">
        <f t="shared" ref="L11:L33" si="0">LEN(D11)</f>
        <v>0</v>
      </c>
      <c r="N11" s="141"/>
    </row>
    <row r="12" spans="3:14" ht="17.25" customHeight="1" thickBot="1" x14ac:dyDescent="0.3">
      <c r="D12" t="s">
        <v>504</v>
      </c>
      <c r="E12" s="378"/>
      <c r="F12" s="383"/>
      <c r="G12" s="383"/>
      <c r="H12" s="383"/>
      <c r="I12" s="377"/>
      <c r="L12" s="252">
        <f>LEN(E12)</f>
        <v>0</v>
      </c>
      <c r="N12" s="141"/>
    </row>
    <row r="13" spans="3:14" x14ac:dyDescent="0.25">
      <c r="E13" s="234"/>
      <c r="F13" s="234"/>
      <c r="G13" s="234"/>
      <c r="H13" s="234"/>
      <c r="I13" s="234"/>
      <c r="L13" s="68" t="s">
        <v>515</v>
      </c>
      <c r="N13" s="141"/>
    </row>
    <row r="14" spans="3:14" ht="14.1" customHeight="1" thickBot="1" x14ac:dyDescent="0.3">
      <c r="C14" t="s">
        <v>495</v>
      </c>
      <c r="D14" t="s">
        <v>494</v>
      </c>
      <c r="L14" s="68" t="s">
        <v>515</v>
      </c>
      <c r="N14" s="141"/>
    </row>
    <row r="15" spans="3:14" ht="20.25" customHeight="1" thickBot="1" x14ac:dyDescent="0.3">
      <c r="D15" s="378"/>
      <c r="E15" s="383"/>
      <c r="F15" s="383"/>
      <c r="G15" s="383"/>
      <c r="H15" s="383"/>
      <c r="I15" s="377"/>
      <c r="L15" s="252">
        <f t="shared" si="0"/>
        <v>0</v>
      </c>
      <c r="N15" s="141"/>
    </row>
    <row r="16" spans="3:14" ht="14.1" customHeight="1" x14ac:dyDescent="0.25">
      <c r="L16" s="68" t="s">
        <v>515</v>
      </c>
      <c r="N16" s="141"/>
    </row>
    <row r="17" spans="3:12" ht="15.75" thickBot="1" x14ac:dyDescent="0.3">
      <c r="C17" t="s">
        <v>413</v>
      </c>
      <c r="D17" t="s">
        <v>496</v>
      </c>
      <c r="L17" s="68" t="s">
        <v>515</v>
      </c>
    </row>
    <row r="18" spans="3:12" ht="39.950000000000003" customHeight="1" thickBot="1" x14ac:dyDescent="0.3">
      <c r="D18" s="378"/>
      <c r="E18" s="383"/>
      <c r="F18" s="383"/>
      <c r="G18" s="383"/>
      <c r="H18" s="383"/>
      <c r="I18" s="377"/>
      <c r="L18" s="252">
        <f t="shared" si="0"/>
        <v>0</v>
      </c>
    </row>
    <row r="19" spans="3:12" x14ac:dyDescent="0.25">
      <c r="L19" s="68" t="s">
        <v>515</v>
      </c>
    </row>
    <row r="20" spans="3:12" ht="15.75" thickBot="1" x14ac:dyDescent="0.3">
      <c r="C20" t="s">
        <v>497</v>
      </c>
      <c r="L20" s="68" t="s">
        <v>515</v>
      </c>
    </row>
    <row r="21" spans="3:12" ht="39.950000000000003" customHeight="1" thickBot="1" x14ac:dyDescent="0.3">
      <c r="D21" s="378"/>
      <c r="E21" s="383"/>
      <c r="F21" s="383"/>
      <c r="G21" s="383"/>
      <c r="H21" s="383"/>
      <c r="I21" s="377"/>
      <c r="L21" s="252">
        <f t="shared" si="0"/>
        <v>0</v>
      </c>
    </row>
    <row r="22" spans="3:12" x14ac:dyDescent="0.25">
      <c r="L22" s="68" t="s">
        <v>515</v>
      </c>
    </row>
    <row r="23" spans="3:12" ht="15.75" thickBot="1" x14ac:dyDescent="0.3">
      <c r="C23" t="s">
        <v>498</v>
      </c>
      <c r="L23" s="68" t="s">
        <v>515</v>
      </c>
    </row>
    <row r="24" spans="3:12" ht="39.950000000000003" customHeight="1" thickBot="1" x14ac:dyDescent="0.3">
      <c r="D24" s="378"/>
      <c r="E24" s="383"/>
      <c r="F24" s="383"/>
      <c r="G24" s="383"/>
      <c r="H24" s="383"/>
      <c r="I24" s="377"/>
      <c r="L24" s="252">
        <f t="shared" si="0"/>
        <v>0</v>
      </c>
    </row>
    <row r="25" spans="3:12" x14ac:dyDescent="0.25">
      <c r="L25" s="68" t="s">
        <v>515</v>
      </c>
    </row>
    <row r="26" spans="3:12" ht="15.75" thickBot="1" x14ac:dyDescent="0.3">
      <c r="C26" t="s">
        <v>499</v>
      </c>
      <c r="D26" t="s">
        <v>370</v>
      </c>
      <c r="L26" s="68" t="s">
        <v>515</v>
      </c>
    </row>
    <row r="27" spans="3:12" ht="41.25" customHeight="1" thickBot="1" x14ac:dyDescent="0.3">
      <c r="D27" s="378"/>
      <c r="E27" s="383"/>
      <c r="F27" s="383"/>
      <c r="G27" s="383"/>
      <c r="H27" s="383"/>
      <c r="I27" s="377"/>
      <c r="L27" s="252">
        <f t="shared" si="0"/>
        <v>0</v>
      </c>
    </row>
    <row r="28" spans="3:12" x14ac:dyDescent="0.25">
      <c r="L28" s="68" t="s">
        <v>515</v>
      </c>
    </row>
    <row r="29" spans="3:12" ht="15.75" thickBot="1" x14ac:dyDescent="0.3">
      <c r="C29" t="s">
        <v>500</v>
      </c>
      <c r="D29" t="s">
        <v>501</v>
      </c>
      <c r="L29" s="68" t="s">
        <v>515</v>
      </c>
    </row>
    <row r="30" spans="3:12" ht="45" customHeight="1" thickBot="1" x14ac:dyDescent="0.3">
      <c r="D30" s="378"/>
      <c r="E30" s="383"/>
      <c r="F30" s="383"/>
      <c r="G30" s="383"/>
      <c r="H30" s="383"/>
      <c r="I30" s="377"/>
      <c r="L30" s="252">
        <f t="shared" si="0"/>
        <v>0</v>
      </c>
    </row>
    <row r="31" spans="3:12" x14ac:dyDescent="0.25">
      <c r="L31" s="68" t="s">
        <v>515</v>
      </c>
    </row>
    <row r="32" spans="3:12" ht="15.75" thickBot="1" x14ac:dyDescent="0.3">
      <c r="C32" t="s">
        <v>502</v>
      </c>
      <c r="D32" t="s">
        <v>503</v>
      </c>
      <c r="L32" s="68" t="s">
        <v>515</v>
      </c>
    </row>
    <row r="33" spans="4:12" ht="30.75" customHeight="1" thickBot="1" x14ac:dyDescent="0.3">
      <c r="D33" s="378"/>
      <c r="E33" s="383"/>
      <c r="F33" s="383"/>
      <c r="G33" s="383"/>
      <c r="H33" s="383"/>
      <c r="I33" s="377"/>
      <c r="L33" s="252">
        <f t="shared" si="0"/>
        <v>0</v>
      </c>
    </row>
    <row r="34" spans="4:12" x14ac:dyDescent="0.25">
      <c r="L34" s="68"/>
    </row>
    <row r="35" spans="4:12" x14ac:dyDescent="0.25">
      <c r="L35" s="68"/>
    </row>
  </sheetData>
  <sheetProtection algorithmName="SHA-512" hashValue="pGLYwcck+8OuPrtyTStYrViTKe/66nBYDg+nalY9Ed12uU71HYWAFpxqCUgMaRCpdFINqwYJ0iquQbUj4eAzUA==" saltValue="9XR1N+y+woN/VUT0eWVZMA==" spinCount="100000" sheet="1" scenarios="1" formatCells="0" formatColumns="0" formatRows="0" insertRows="0" insertHyperlinks="0" deleteRows="0" selectLockedCells="1" autoFilter="0"/>
  <mergeCells count="10">
    <mergeCell ref="C4:G5"/>
    <mergeCell ref="D18:I18"/>
    <mergeCell ref="D21:I21"/>
    <mergeCell ref="D30:I30"/>
    <mergeCell ref="D33:I33"/>
    <mergeCell ref="D11:I11"/>
    <mergeCell ref="D15:I15"/>
    <mergeCell ref="E12:I12"/>
    <mergeCell ref="D24:I24"/>
    <mergeCell ref="D27:I27"/>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C1:N19"/>
  <sheetViews>
    <sheetView showGridLines="0" view="pageBreakPreview" zoomScale="85" zoomScaleNormal="85" zoomScaleSheetLayoutView="85" workbookViewId="0">
      <selection activeCell="D11" sqref="D11:I11"/>
    </sheetView>
  </sheetViews>
  <sheetFormatPr baseColWidth="10" defaultRowHeight="15" x14ac:dyDescent="0.25"/>
  <cols>
    <col min="1" max="2" width="4.42578125" customWidth="1"/>
    <col min="3" max="3" width="3.42578125" customWidth="1"/>
    <col min="4" max="4" width="17.140625" customWidth="1"/>
    <col min="5" max="5" width="16.85546875" customWidth="1"/>
    <col min="6" max="6" width="13.7109375" customWidth="1"/>
    <col min="7" max="7" width="19.42578125" customWidth="1"/>
    <col min="8" max="8" width="17.140625" customWidth="1"/>
    <col min="9" max="9" width="23.85546875" customWidth="1"/>
    <col min="10" max="10" width="7.42578125" customWidth="1"/>
  </cols>
  <sheetData>
    <row r="1" spans="3:14" ht="25.5" customHeight="1" x14ac:dyDescent="0.25"/>
    <row r="2" spans="3:14" ht="100.5" customHeight="1" thickBot="1" x14ac:dyDescent="0.3"/>
    <row r="3" spans="3:14" ht="7.5" hidden="1" customHeight="1" thickBot="1" x14ac:dyDescent="0.3"/>
    <row r="4" spans="3:14" ht="48" customHeight="1" x14ac:dyDescent="0.25">
      <c r="C4" s="387" t="str">
        <f>Datos_Generales!B3</f>
        <v>PRESENTACIÓN DE PROYECTOS 
DE INICIACIÓN CIENTIFÍCA 2018 - 2</v>
      </c>
      <c r="D4" s="388"/>
      <c r="E4" s="388"/>
      <c r="F4" s="388"/>
      <c r="G4" s="388"/>
      <c r="H4" s="388"/>
      <c r="I4" s="389"/>
      <c r="L4">
        <f>COUNTIF(L10:L70,"&gt;"&amp;0)</f>
        <v>0</v>
      </c>
    </row>
    <row r="5" spans="3:14" ht="15.75" thickBot="1" x14ac:dyDescent="0.3">
      <c r="C5" s="390"/>
      <c r="D5" s="391"/>
      <c r="E5" s="391"/>
      <c r="F5" s="391"/>
      <c r="G5" s="391"/>
      <c r="H5" s="391"/>
      <c r="I5" s="392"/>
      <c r="L5">
        <f>SUM(L10:L83)</f>
        <v>0</v>
      </c>
    </row>
    <row r="6" spans="3:14" ht="15.75" x14ac:dyDescent="0.25">
      <c r="L6" s="74" t="s">
        <v>342</v>
      </c>
    </row>
    <row r="7" spans="3:14" ht="15.75" x14ac:dyDescent="0.25">
      <c r="C7" s="21" t="s">
        <v>488</v>
      </c>
      <c r="D7" s="22" t="s">
        <v>410</v>
      </c>
      <c r="E7" s="23"/>
      <c r="F7" s="23"/>
      <c r="G7" s="23"/>
      <c r="H7" s="23"/>
      <c r="I7" s="23"/>
      <c r="L7" s="96" t="s">
        <v>464</v>
      </c>
    </row>
    <row r="8" spans="3:14" x14ac:dyDescent="0.25">
      <c r="C8" s="21" t="s">
        <v>413</v>
      </c>
      <c r="D8" s="22" t="s">
        <v>476</v>
      </c>
      <c r="E8" s="23"/>
      <c r="F8" s="23"/>
      <c r="G8" s="23"/>
      <c r="H8" s="23"/>
      <c r="I8" s="23"/>
      <c r="L8" s="199" t="s">
        <v>360</v>
      </c>
    </row>
    <row r="9" spans="3:14" ht="14.1" customHeight="1" thickBot="1" x14ac:dyDescent="0.3">
      <c r="N9" s="141"/>
    </row>
    <row r="10" spans="3:14" ht="39.950000000000003" customHeight="1" x14ac:dyDescent="0.25">
      <c r="C10" s="178">
        <v>1</v>
      </c>
      <c r="D10" s="454"/>
      <c r="E10" s="455"/>
      <c r="F10" s="455"/>
      <c r="G10" s="455"/>
      <c r="H10" s="455"/>
      <c r="I10" s="456"/>
      <c r="L10" s="68">
        <f>LEN(D10)</f>
        <v>0</v>
      </c>
    </row>
    <row r="11" spans="3:14" ht="39.950000000000003" customHeight="1" x14ac:dyDescent="0.25">
      <c r="C11" s="179">
        <v>2</v>
      </c>
      <c r="D11" s="457"/>
      <c r="E11" s="458"/>
      <c r="F11" s="458"/>
      <c r="G11" s="458"/>
      <c r="H11" s="458"/>
      <c r="I11" s="459"/>
      <c r="L11" s="68">
        <f t="shared" ref="L11:L19" si="0">LEN(D11)</f>
        <v>0</v>
      </c>
    </row>
    <row r="12" spans="3:14" ht="39.950000000000003" customHeight="1" x14ac:dyDescent="0.25">
      <c r="C12" s="180">
        <f>C11+1</f>
        <v>3</v>
      </c>
      <c r="D12" s="451"/>
      <c r="E12" s="449"/>
      <c r="F12" s="449"/>
      <c r="G12" s="449"/>
      <c r="H12" s="449"/>
      <c r="I12" s="450"/>
      <c r="L12" s="68">
        <f t="shared" si="0"/>
        <v>0</v>
      </c>
    </row>
    <row r="13" spans="3:14" ht="39.950000000000003" customHeight="1" x14ac:dyDescent="0.25">
      <c r="C13" s="181">
        <f t="shared" ref="C13:C19" si="1">C12+1</f>
        <v>4</v>
      </c>
      <c r="D13" s="457"/>
      <c r="E13" s="458"/>
      <c r="F13" s="458"/>
      <c r="G13" s="458"/>
      <c r="H13" s="458"/>
      <c r="I13" s="459"/>
      <c r="L13" s="68">
        <f t="shared" si="0"/>
        <v>0</v>
      </c>
    </row>
    <row r="14" spans="3:14" ht="39.950000000000003" customHeight="1" x14ac:dyDescent="0.25">
      <c r="C14" s="180">
        <f t="shared" si="1"/>
        <v>5</v>
      </c>
      <c r="D14" s="451"/>
      <c r="E14" s="449"/>
      <c r="F14" s="449"/>
      <c r="G14" s="449"/>
      <c r="H14" s="449"/>
      <c r="I14" s="450"/>
      <c r="L14" s="68">
        <f t="shared" si="0"/>
        <v>0</v>
      </c>
    </row>
    <row r="15" spans="3:14" ht="39.950000000000003" customHeight="1" x14ac:dyDescent="0.25">
      <c r="C15" s="180">
        <f t="shared" si="1"/>
        <v>6</v>
      </c>
      <c r="D15" s="451"/>
      <c r="E15" s="449"/>
      <c r="F15" s="449"/>
      <c r="G15" s="449"/>
      <c r="H15" s="449"/>
      <c r="I15" s="450"/>
      <c r="L15" s="68">
        <f t="shared" si="0"/>
        <v>0</v>
      </c>
    </row>
    <row r="16" spans="3:14" ht="39.950000000000003" customHeight="1" x14ac:dyDescent="0.25">
      <c r="C16" s="180">
        <f t="shared" si="1"/>
        <v>7</v>
      </c>
      <c r="D16" s="451"/>
      <c r="E16" s="449"/>
      <c r="F16" s="449"/>
      <c r="G16" s="449"/>
      <c r="H16" s="449"/>
      <c r="I16" s="450"/>
      <c r="L16" s="68">
        <f t="shared" si="0"/>
        <v>0</v>
      </c>
    </row>
    <row r="17" spans="3:12" ht="39.950000000000003" customHeight="1" x14ac:dyDescent="0.25">
      <c r="C17" s="180">
        <f t="shared" si="1"/>
        <v>8</v>
      </c>
      <c r="D17" s="451"/>
      <c r="E17" s="449"/>
      <c r="F17" s="449"/>
      <c r="G17" s="449"/>
      <c r="H17" s="449"/>
      <c r="I17" s="450"/>
      <c r="L17" s="68">
        <f t="shared" si="0"/>
        <v>0</v>
      </c>
    </row>
    <row r="18" spans="3:12" ht="39.950000000000003" customHeight="1" x14ac:dyDescent="0.25">
      <c r="C18" s="180">
        <f t="shared" si="1"/>
        <v>9</v>
      </c>
      <c r="D18" s="451"/>
      <c r="E18" s="449"/>
      <c r="F18" s="449"/>
      <c r="G18" s="449"/>
      <c r="H18" s="449"/>
      <c r="I18" s="450"/>
      <c r="L18" s="68">
        <f t="shared" si="0"/>
        <v>0</v>
      </c>
    </row>
    <row r="19" spans="3:12" ht="39.950000000000003" customHeight="1" thickBot="1" x14ac:dyDescent="0.3">
      <c r="C19" s="215">
        <f t="shared" si="1"/>
        <v>10</v>
      </c>
      <c r="D19" s="567"/>
      <c r="E19" s="568"/>
      <c r="F19" s="568"/>
      <c r="G19" s="568"/>
      <c r="H19" s="568"/>
      <c r="I19" s="569"/>
      <c r="L19" s="68">
        <f t="shared" si="0"/>
        <v>0</v>
      </c>
    </row>
  </sheetData>
  <sheetProtection formatCells="0" formatColumns="0" formatRows="0" insertRows="0" deleteRows="0" selectLockedCells="1" autoFilter="0"/>
  <mergeCells count="11">
    <mergeCell ref="D10:I10"/>
    <mergeCell ref="D11:I11"/>
    <mergeCell ref="D12:I12"/>
    <mergeCell ref="D13:I13"/>
    <mergeCell ref="C4:I5"/>
    <mergeCell ref="D19:I19"/>
    <mergeCell ref="D14:I14"/>
    <mergeCell ref="D15:I15"/>
    <mergeCell ref="D16:I16"/>
    <mergeCell ref="D17:I17"/>
    <mergeCell ref="D18:I18"/>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B1:M21"/>
  <sheetViews>
    <sheetView showGridLines="0" view="pageBreakPreview" zoomScale="70" zoomScaleNormal="85" zoomScaleSheetLayoutView="70" workbookViewId="0">
      <selection activeCell="D8" sqref="D8"/>
    </sheetView>
  </sheetViews>
  <sheetFormatPr baseColWidth="10" defaultRowHeight="15" x14ac:dyDescent="0.25"/>
  <cols>
    <col min="1" max="1" width="4.42578125" customWidth="1"/>
    <col min="2" max="2" width="3.42578125" customWidth="1"/>
    <col min="3" max="10" width="16.28515625" customWidth="1"/>
    <col min="11" max="11" width="7.42578125" customWidth="1"/>
  </cols>
  <sheetData>
    <row r="1" spans="2:13" ht="25.5" customHeight="1" x14ac:dyDescent="0.25"/>
    <row r="2" spans="2:13" ht="100.5" customHeight="1" thickBot="1" x14ac:dyDescent="0.3"/>
    <row r="3" spans="2:13" ht="7.5" hidden="1" customHeight="1" thickBot="1" x14ac:dyDescent="0.3"/>
    <row r="4" spans="2:13" ht="48" thickBot="1" x14ac:dyDescent="0.3">
      <c r="B4" s="387" t="str">
        <f>Datos_Generales!B3</f>
        <v>PRESENTACIÓN DE PROYECTOS 
DE INICIACIÓN CIENTIFÍCA 2018 - 2</v>
      </c>
      <c r="C4" s="388"/>
      <c r="D4" s="388"/>
      <c r="E4" s="388"/>
      <c r="F4" s="388"/>
      <c r="G4" s="388"/>
      <c r="H4" s="388"/>
      <c r="I4" s="221" t="s">
        <v>465</v>
      </c>
      <c r="J4" s="222" t="s">
        <v>467</v>
      </c>
    </row>
    <row r="5" spans="2:13" ht="32.25" thickBot="1" x14ac:dyDescent="0.3">
      <c r="B5" s="390"/>
      <c r="C5" s="391"/>
      <c r="D5" s="391"/>
      <c r="E5" s="391"/>
      <c r="F5" s="391"/>
      <c r="G5" s="391"/>
      <c r="H5" s="391"/>
      <c r="I5" s="221" t="s">
        <v>466</v>
      </c>
      <c r="J5" s="223" t="s">
        <v>475</v>
      </c>
    </row>
    <row r="7" spans="2:13" s="88" customFormat="1" ht="15.75" x14ac:dyDescent="0.25">
      <c r="B7" s="91" t="s">
        <v>581</v>
      </c>
      <c r="C7" s="89" t="s">
        <v>444</v>
      </c>
      <c r="D7" s="90"/>
      <c r="E7" s="90"/>
      <c r="F7" s="90"/>
      <c r="G7" s="90"/>
      <c r="H7" s="90"/>
      <c r="I7" s="90"/>
      <c r="J7" s="90"/>
      <c r="M7" s="92"/>
    </row>
    <row r="8" spans="2:13" s="88" customFormat="1" ht="15.75" x14ac:dyDescent="0.25">
      <c r="B8" s="91" t="s">
        <v>245</v>
      </c>
      <c r="C8" s="214" t="s">
        <v>637</v>
      </c>
      <c r="D8" s="90"/>
      <c r="E8" s="90"/>
      <c r="F8" s="90"/>
      <c r="G8" s="90"/>
      <c r="H8" s="90"/>
      <c r="I8" s="90"/>
      <c r="J8" s="90"/>
      <c r="M8" s="92"/>
    </row>
    <row r="9" spans="2:13" s="88" customFormat="1" ht="16.5" thickBot="1" x14ac:dyDescent="0.3">
      <c r="M9" s="92" t="s">
        <v>363</v>
      </c>
    </row>
    <row r="10" spans="2:13" s="88" customFormat="1" ht="80.099999999999994" customHeight="1" x14ac:dyDescent="0.25">
      <c r="B10" s="217">
        <v>1</v>
      </c>
      <c r="C10" s="580"/>
      <c r="D10" s="581"/>
      <c r="E10" s="581"/>
      <c r="F10" s="581"/>
      <c r="G10" s="581"/>
      <c r="H10" s="581"/>
      <c r="I10" s="581"/>
      <c r="J10" s="582"/>
      <c r="M10" s="95">
        <f>LEN(C10)</f>
        <v>0</v>
      </c>
    </row>
    <row r="11" spans="2:13" s="88" customFormat="1" ht="80.099999999999994" customHeight="1" x14ac:dyDescent="0.25">
      <c r="B11" s="218">
        <v>2</v>
      </c>
      <c r="C11" s="570"/>
      <c r="D11" s="571"/>
      <c r="E11" s="571"/>
      <c r="F11" s="571"/>
      <c r="G11" s="571"/>
      <c r="H11" s="571"/>
      <c r="I11" s="571"/>
      <c r="J11" s="572"/>
      <c r="M11" s="95">
        <f t="shared" ref="M11:M18" si="0">LEN(C11)</f>
        <v>0</v>
      </c>
    </row>
    <row r="12" spans="2:13" s="88" customFormat="1" ht="80.099999999999994" customHeight="1" x14ac:dyDescent="0.25">
      <c r="B12" s="219">
        <v>3</v>
      </c>
      <c r="C12" s="573"/>
      <c r="D12" s="574"/>
      <c r="E12" s="574"/>
      <c r="F12" s="574"/>
      <c r="G12" s="574"/>
      <c r="H12" s="574"/>
      <c r="I12" s="574"/>
      <c r="J12" s="575"/>
      <c r="M12" s="95">
        <f t="shared" si="0"/>
        <v>0</v>
      </c>
    </row>
    <row r="13" spans="2:13" s="88" customFormat="1" ht="80.099999999999994" customHeight="1" x14ac:dyDescent="0.25">
      <c r="B13" s="218">
        <v>4</v>
      </c>
      <c r="C13" s="570"/>
      <c r="D13" s="571"/>
      <c r="E13" s="571"/>
      <c r="F13" s="571"/>
      <c r="G13" s="571"/>
      <c r="H13" s="571"/>
      <c r="I13" s="571"/>
      <c r="J13" s="572"/>
      <c r="M13" s="95">
        <f t="shared" si="0"/>
        <v>0</v>
      </c>
    </row>
    <row r="14" spans="2:13" s="88" customFormat="1" ht="80.099999999999994" customHeight="1" x14ac:dyDescent="0.25">
      <c r="B14" s="219">
        <v>5</v>
      </c>
      <c r="C14" s="573"/>
      <c r="D14" s="574"/>
      <c r="E14" s="574"/>
      <c r="F14" s="574"/>
      <c r="G14" s="574"/>
      <c r="H14" s="574"/>
      <c r="I14" s="574"/>
      <c r="J14" s="575"/>
      <c r="M14" s="95">
        <f t="shared" si="0"/>
        <v>0</v>
      </c>
    </row>
    <row r="15" spans="2:13" s="88" customFormat="1" ht="80.099999999999994" customHeight="1" x14ac:dyDescent="0.25">
      <c r="B15" s="218">
        <v>6</v>
      </c>
      <c r="C15" s="570"/>
      <c r="D15" s="571"/>
      <c r="E15" s="571"/>
      <c r="F15" s="571"/>
      <c r="G15" s="571"/>
      <c r="H15" s="571"/>
      <c r="I15" s="571"/>
      <c r="J15" s="572"/>
      <c r="M15" s="95">
        <f t="shared" si="0"/>
        <v>0</v>
      </c>
    </row>
    <row r="16" spans="2:13" s="88" customFormat="1" ht="80.099999999999994" customHeight="1" x14ac:dyDescent="0.25">
      <c r="B16" s="219">
        <v>7</v>
      </c>
      <c r="C16" s="573"/>
      <c r="D16" s="574"/>
      <c r="E16" s="574"/>
      <c r="F16" s="574"/>
      <c r="G16" s="574"/>
      <c r="H16" s="574"/>
      <c r="I16" s="574"/>
      <c r="J16" s="575"/>
      <c r="M16" s="95">
        <f t="shared" si="0"/>
        <v>0</v>
      </c>
    </row>
    <row r="17" spans="2:13" s="88" customFormat="1" ht="80.099999999999994" customHeight="1" x14ac:dyDescent="0.25">
      <c r="B17" s="218">
        <v>8</v>
      </c>
      <c r="C17" s="570"/>
      <c r="D17" s="571"/>
      <c r="E17" s="571"/>
      <c r="F17" s="571"/>
      <c r="G17" s="571"/>
      <c r="H17" s="571"/>
      <c r="I17" s="571"/>
      <c r="J17" s="572"/>
      <c r="M17" s="95">
        <f t="shared" si="0"/>
        <v>0</v>
      </c>
    </row>
    <row r="18" spans="2:13" s="88" customFormat="1" ht="15.75" thickBot="1" x14ac:dyDescent="0.3">
      <c r="B18" s="220">
        <v>9</v>
      </c>
      <c r="C18" s="576"/>
      <c r="D18" s="577"/>
      <c r="E18" s="577"/>
      <c r="F18" s="577"/>
      <c r="G18" s="577"/>
      <c r="H18" s="577"/>
      <c r="I18" s="577"/>
      <c r="J18" s="578"/>
      <c r="M18" s="95">
        <f t="shared" si="0"/>
        <v>0</v>
      </c>
    </row>
    <row r="19" spans="2:13" s="88" customFormat="1" x14ac:dyDescent="0.25">
      <c r="B19" s="95"/>
      <c r="C19" s="579"/>
      <c r="D19" s="579"/>
      <c r="E19" s="579"/>
      <c r="F19" s="579"/>
      <c r="G19" s="579"/>
      <c r="H19" s="579"/>
      <c r="I19" s="579"/>
      <c r="J19" s="579"/>
    </row>
    <row r="20" spans="2:13" s="88" customFormat="1" x14ac:dyDescent="0.25"/>
    <row r="21" spans="2:13" s="88" customFormat="1" x14ac:dyDescent="0.25"/>
  </sheetData>
  <mergeCells count="11">
    <mergeCell ref="B4:H5"/>
    <mergeCell ref="C14:J14"/>
    <mergeCell ref="C10:J10"/>
    <mergeCell ref="C11:J11"/>
    <mergeCell ref="C12:J12"/>
    <mergeCell ref="C13:J13"/>
    <mergeCell ref="C15:J15"/>
    <mergeCell ref="C16:J16"/>
    <mergeCell ref="C17:J17"/>
    <mergeCell ref="C18:J18"/>
    <mergeCell ref="C19:J19"/>
  </mergeCells>
  <printOptions horizontalCentered="1"/>
  <pageMargins left="0.70866141732283472" right="0.70866141732283472" top="0.74803149606299213" bottom="0.74803149606299213" header="0.31496062992125984" footer="0.31496062992125984"/>
  <pageSetup scale="60"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theme="5" tint="0.59999389629810485"/>
  </sheetPr>
  <dimension ref="A1:M27"/>
  <sheetViews>
    <sheetView showGridLines="0" view="pageBreakPreview" zoomScale="85" zoomScaleNormal="85" zoomScaleSheetLayoutView="85" workbookViewId="0">
      <selection activeCell="L2" sqref="L2"/>
    </sheetView>
  </sheetViews>
  <sheetFormatPr baseColWidth="10" defaultColWidth="0" defaultRowHeight="15" x14ac:dyDescent="0.25"/>
  <cols>
    <col min="1" max="1" width="3.140625" style="3" customWidth="1"/>
    <col min="2" max="2" width="1.28515625" style="3" customWidth="1"/>
    <col min="3" max="3" width="3.42578125" style="3" customWidth="1"/>
    <col min="4" max="4" width="19.85546875" style="3" customWidth="1"/>
    <col min="5" max="5" width="16.85546875" style="3" customWidth="1"/>
    <col min="6" max="6" width="13.7109375" style="3" customWidth="1"/>
    <col min="7" max="7" width="19.42578125" style="3" customWidth="1"/>
    <col min="8" max="8" width="17.140625" style="3" customWidth="1"/>
    <col min="9" max="9" width="23.85546875" style="3" customWidth="1"/>
    <col min="10" max="10" width="7.42578125" style="3" customWidth="1"/>
    <col min="11" max="11" width="11.42578125" style="3" customWidth="1"/>
    <col min="12" max="12" width="39.28515625" style="3" customWidth="1"/>
    <col min="13" max="13" width="11.42578125" style="3" customWidth="1"/>
    <col min="14" max="16384" width="11.42578125" style="3" hidden="1"/>
  </cols>
  <sheetData>
    <row r="1" spans="3:12" ht="25.5" customHeight="1" x14ac:dyDescent="0.25"/>
    <row r="2" spans="3:12" ht="113.25" customHeight="1" thickBot="1" x14ac:dyDescent="0.3"/>
    <row r="3" spans="3:12" ht="48" thickBot="1" x14ac:dyDescent="0.3">
      <c r="C3" s="358" t="str">
        <f>Datos_Generales!B3</f>
        <v>PRESENTACIÓN DE PROYECTOS 
DE INICIACIÓN CIENTIFÍCA 2018 - 2</v>
      </c>
      <c r="D3" s="359"/>
      <c r="E3" s="359"/>
      <c r="F3" s="359"/>
      <c r="G3" s="359"/>
      <c r="H3" s="221" t="s">
        <v>465</v>
      </c>
      <c r="I3" s="222" t="s">
        <v>467</v>
      </c>
    </row>
    <row r="4" spans="3:12" ht="32.25" thickBot="1" x14ac:dyDescent="0.3">
      <c r="C4" s="361"/>
      <c r="D4" s="362"/>
      <c r="E4" s="362"/>
      <c r="F4" s="362"/>
      <c r="G4" s="362"/>
      <c r="H4" s="221" t="s">
        <v>466</v>
      </c>
      <c r="I4" s="4" t="s">
        <v>373</v>
      </c>
    </row>
    <row r="6" spans="3:12" ht="15.75" x14ac:dyDescent="0.25">
      <c r="C6" s="7" t="s">
        <v>245</v>
      </c>
      <c r="D6" s="8" t="s">
        <v>448</v>
      </c>
      <c r="E6" s="9"/>
      <c r="F6" s="9"/>
      <c r="G6" s="9"/>
      <c r="H6" s="9"/>
      <c r="I6" s="9" t="s">
        <v>449</v>
      </c>
      <c r="L6" s="96" t="s">
        <v>342</v>
      </c>
    </row>
    <row r="7" spans="3:12" ht="16.5" thickBot="1" x14ac:dyDescent="0.3">
      <c r="L7" s="96" t="s">
        <v>363</v>
      </c>
    </row>
    <row r="8" spans="3:12" ht="15.75" thickBot="1" x14ac:dyDescent="0.3">
      <c r="C8" s="182" t="s">
        <v>261</v>
      </c>
      <c r="D8" s="183" t="s">
        <v>374</v>
      </c>
      <c r="E8" s="607" t="s">
        <v>274</v>
      </c>
      <c r="F8" s="607"/>
      <c r="G8" s="607"/>
      <c r="H8" s="607"/>
      <c r="I8" s="608"/>
    </row>
    <row r="9" spans="3:12" ht="78" customHeight="1" thickTop="1" x14ac:dyDescent="0.25">
      <c r="C9" s="184">
        <v>1</v>
      </c>
      <c r="D9" s="185" t="s">
        <v>375</v>
      </c>
      <c r="E9" s="583" t="s">
        <v>376</v>
      </c>
      <c r="F9" s="584"/>
      <c r="G9" s="584"/>
      <c r="H9" s="584"/>
      <c r="I9" s="585"/>
      <c r="L9" s="99">
        <f>LEN(E9)</f>
        <v>414</v>
      </c>
    </row>
    <row r="10" spans="3:12" ht="61.5" customHeight="1" x14ac:dyDescent="0.25">
      <c r="C10" s="103">
        <v>2</v>
      </c>
      <c r="D10" s="227" t="s">
        <v>377</v>
      </c>
      <c r="E10" s="586" t="s">
        <v>582</v>
      </c>
      <c r="F10" s="587"/>
      <c r="G10" s="587"/>
      <c r="H10" s="587"/>
      <c r="I10" s="588"/>
      <c r="L10" s="99">
        <f>LEN(E10)</f>
        <v>257</v>
      </c>
    </row>
    <row r="11" spans="3:12" ht="97.5" customHeight="1" x14ac:dyDescent="0.25">
      <c r="C11" s="105">
        <v>3</v>
      </c>
      <c r="D11" s="224" t="s">
        <v>324</v>
      </c>
      <c r="E11" s="589" t="s">
        <v>378</v>
      </c>
      <c r="F11" s="590"/>
      <c r="G11" s="590"/>
      <c r="H11" s="590"/>
      <c r="I11" s="591"/>
      <c r="L11" s="99">
        <f>LEN(E11)</f>
        <v>510</v>
      </c>
    </row>
    <row r="12" spans="3:12" ht="97.5" customHeight="1" x14ac:dyDescent="0.25">
      <c r="C12" s="103">
        <v>4</v>
      </c>
      <c r="D12" s="227" t="s">
        <v>324</v>
      </c>
      <c r="E12" s="595" t="s">
        <v>379</v>
      </c>
      <c r="F12" s="596"/>
      <c r="G12" s="596"/>
      <c r="H12" s="596"/>
      <c r="I12" s="597"/>
      <c r="L12" s="99">
        <f>LEN(E12)</f>
        <v>533</v>
      </c>
    </row>
    <row r="13" spans="3:12" ht="117" customHeight="1" x14ac:dyDescent="0.25">
      <c r="C13" s="105">
        <v>5</v>
      </c>
      <c r="D13" s="224" t="s">
        <v>324</v>
      </c>
      <c r="E13" s="589" t="s">
        <v>451</v>
      </c>
      <c r="F13" s="590"/>
      <c r="G13" s="590"/>
      <c r="H13" s="590"/>
      <c r="I13" s="591"/>
      <c r="L13" s="99">
        <f>LEN(D13)</f>
        <v>8</v>
      </c>
    </row>
    <row r="14" spans="3:12" ht="79.5" customHeight="1" x14ac:dyDescent="0.25">
      <c r="C14" s="103">
        <v>6</v>
      </c>
      <c r="D14" s="228" t="s">
        <v>325</v>
      </c>
      <c r="E14" s="595" t="s">
        <v>380</v>
      </c>
      <c r="F14" s="596"/>
      <c r="G14" s="596"/>
      <c r="H14" s="596"/>
      <c r="I14" s="597"/>
      <c r="L14" s="99">
        <f t="shared" ref="L14:L27" si="0">LEN(D14)</f>
        <v>7</v>
      </c>
    </row>
    <row r="15" spans="3:12" ht="90" customHeight="1" x14ac:dyDescent="0.25">
      <c r="C15" s="105">
        <v>7</v>
      </c>
      <c r="D15" s="224" t="s">
        <v>325</v>
      </c>
      <c r="E15" s="592" t="s">
        <v>450</v>
      </c>
      <c r="F15" s="593"/>
      <c r="G15" s="593"/>
      <c r="H15" s="593"/>
      <c r="I15" s="594"/>
      <c r="L15" s="99">
        <f t="shared" si="0"/>
        <v>7</v>
      </c>
    </row>
    <row r="16" spans="3:12" ht="58.5" customHeight="1" x14ac:dyDescent="0.25">
      <c r="C16" s="103">
        <v>8</v>
      </c>
      <c r="D16" s="228" t="s">
        <v>329</v>
      </c>
      <c r="E16" s="595" t="s">
        <v>381</v>
      </c>
      <c r="F16" s="596"/>
      <c r="G16" s="596"/>
      <c r="H16" s="596"/>
      <c r="I16" s="597"/>
      <c r="L16" s="99">
        <f t="shared" si="0"/>
        <v>6</v>
      </c>
    </row>
    <row r="17" spans="3:12" ht="66.75" customHeight="1" x14ac:dyDescent="0.25">
      <c r="C17" s="105">
        <v>9</v>
      </c>
      <c r="D17" s="224" t="s">
        <v>382</v>
      </c>
      <c r="E17" s="592" t="s">
        <v>461</v>
      </c>
      <c r="F17" s="593"/>
      <c r="G17" s="593"/>
      <c r="H17" s="593"/>
      <c r="I17" s="594"/>
      <c r="L17" s="99">
        <f t="shared" si="0"/>
        <v>16</v>
      </c>
    </row>
    <row r="18" spans="3:12" ht="74.25" customHeight="1" x14ac:dyDescent="0.25">
      <c r="C18" s="186">
        <v>10</v>
      </c>
      <c r="D18" s="187" t="s">
        <v>383</v>
      </c>
      <c r="E18" s="598" t="s">
        <v>384</v>
      </c>
      <c r="F18" s="599"/>
      <c r="G18" s="599"/>
      <c r="H18" s="599"/>
      <c r="I18" s="600"/>
      <c r="L18" s="99">
        <f t="shared" si="0"/>
        <v>40</v>
      </c>
    </row>
    <row r="19" spans="3:12" ht="79.5" customHeight="1" x14ac:dyDescent="0.25">
      <c r="C19" s="105">
        <v>11</v>
      </c>
      <c r="D19" s="229" t="s">
        <v>385</v>
      </c>
      <c r="E19" s="592" t="s">
        <v>386</v>
      </c>
      <c r="F19" s="593"/>
      <c r="G19" s="593"/>
      <c r="H19" s="593"/>
      <c r="I19" s="594"/>
      <c r="L19" s="99">
        <f t="shared" si="0"/>
        <v>24</v>
      </c>
    </row>
    <row r="20" spans="3:12" ht="45.75" customHeight="1" x14ac:dyDescent="0.25">
      <c r="C20" s="186">
        <v>12</v>
      </c>
      <c r="D20" s="187" t="s">
        <v>385</v>
      </c>
      <c r="E20" s="586" t="s">
        <v>387</v>
      </c>
      <c r="F20" s="587"/>
      <c r="G20" s="587"/>
      <c r="H20" s="587"/>
      <c r="I20" s="588"/>
      <c r="L20" s="99">
        <f t="shared" si="0"/>
        <v>24</v>
      </c>
    </row>
    <row r="21" spans="3:12" ht="33" customHeight="1" x14ac:dyDescent="0.25">
      <c r="C21" s="105">
        <v>13</v>
      </c>
      <c r="D21" s="224" t="s">
        <v>462</v>
      </c>
      <c r="E21" s="592" t="s">
        <v>463</v>
      </c>
      <c r="F21" s="593"/>
      <c r="G21" s="593"/>
      <c r="H21" s="593"/>
      <c r="I21" s="594"/>
      <c r="L21" s="99">
        <f t="shared" si="0"/>
        <v>12</v>
      </c>
    </row>
    <row r="22" spans="3:12" ht="58.5" customHeight="1" x14ac:dyDescent="0.25">
      <c r="C22" s="186"/>
      <c r="D22" s="187"/>
      <c r="E22" s="604"/>
      <c r="F22" s="605"/>
      <c r="G22" s="605"/>
      <c r="H22" s="605"/>
      <c r="I22" s="606"/>
      <c r="L22" s="99">
        <f t="shared" si="0"/>
        <v>0</v>
      </c>
    </row>
    <row r="23" spans="3:12" ht="58.5" customHeight="1" x14ac:dyDescent="0.25">
      <c r="C23" s="105"/>
      <c r="D23" s="224"/>
      <c r="E23" s="592"/>
      <c r="F23" s="593"/>
      <c r="G23" s="593"/>
      <c r="H23" s="593"/>
      <c r="I23" s="594"/>
      <c r="L23" s="99">
        <f t="shared" si="0"/>
        <v>0</v>
      </c>
    </row>
    <row r="24" spans="3:12" ht="14.1" customHeight="1" thickBot="1" x14ac:dyDescent="0.3">
      <c r="C24" s="107"/>
      <c r="D24" s="188"/>
      <c r="E24" s="601"/>
      <c r="F24" s="602"/>
      <c r="G24" s="602"/>
      <c r="H24" s="602"/>
      <c r="I24" s="603"/>
      <c r="L24" s="99">
        <f t="shared" si="0"/>
        <v>0</v>
      </c>
    </row>
    <row r="25" spans="3:12" x14ac:dyDescent="0.25">
      <c r="C25" s="99"/>
      <c r="D25" s="471"/>
      <c r="E25" s="471"/>
      <c r="F25" s="471"/>
      <c r="G25" s="471"/>
      <c r="H25" s="471"/>
      <c r="I25" s="471"/>
      <c r="L25" s="99">
        <f t="shared" si="0"/>
        <v>0</v>
      </c>
    </row>
    <row r="26" spans="3:12" x14ac:dyDescent="0.25">
      <c r="L26" s="99">
        <f t="shared" si="0"/>
        <v>0</v>
      </c>
    </row>
    <row r="27" spans="3:12" x14ac:dyDescent="0.25">
      <c r="L27" s="99">
        <f t="shared" si="0"/>
        <v>0</v>
      </c>
    </row>
  </sheetData>
  <sheetProtection formatRows="0" sort="0" autoFilter="0"/>
  <mergeCells count="19">
    <mergeCell ref="E16:I16"/>
    <mergeCell ref="E8:I8"/>
    <mergeCell ref="C3:G4"/>
    <mergeCell ref="D25:I25"/>
    <mergeCell ref="E9:I9"/>
    <mergeCell ref="E10:I10"/>
    <mergeCell ref="E11:I11"/>
    <mergeCell ref="E17:I17"/>
    <mergeCell ref="E19:I19"/>
    <mergeCell ref="E12:I12"/>
    <mergeCell ref="E13:I13"/>
    <mergeCell ref="E14:I14"/>
    <mergeCell ref="E15:I15"/>
    <mergeCell ref="E21:I21"/>
    <mergeCell ref="E23:I23"/>
    <mergeCell ref="E18:I18"/>
    <mergeCell ref="E24:I24"/>
    <mergeCell ref="E20:I20"/>
    <mergeCell ref="E22:I22"/>
  </mergeCells>
  <printOptions horizontalCentered="1"/>
  <pageMargins left="0.70866141732283472" right="0.70866141732283472" top="0.74803149606299213" bottom="0.74803149606299213" header="0.31496062992125984" footer="0.31496062992125984"/>
  <pageSetup scale="7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tabColor theme="4" tint="0.39997558519241921"/>
  </sheetPr>
  <dimension ref="A1:Q69"/>
  <sheetViews>
    <sheetView showGridLines="0" tabSelected="1" view="pageBreakPreview" topLeftCell="A10" zoomScale="70" zoomScaleNormal="85" zoomScaleSheetLayoutView="70" zoomScalePageLayoutView="70" workbookViewId="0">
      <selection activeCell="H42" sqref="H42"/>
    </sheetView>
  </sheetViews>
  <sheetFormatPr baseColWidth="10" defaultColWidth="11.42578125" defaultRowHeight="15" zeroHeight="1" x14ac:dyDescent="0.25"/>
  <cols>
    <col min="1" max="1" width="4.42578125" style="3" customWidth="1"/>
    <col min="2" max="2" width="3.42578125" style="3" customWidth="1"/>
    <col min="3" max="3" width="17.140625" style="3" customWidth="1"/>
    <col min="4" max="4" width="16.85546875" style="3" customWidth="1"/>
    <col min="5" max="5" width="13.7109375" style="3" customWidth="1"/>
    <col min="6" max="6" width="23.42578125" style="3" customWidth="1"/>
    <col min="7" max="7" width="17.140625" style="3" customWidth="1"/>
    <col min="8" max="8" width="23.85546875" style="3" customWidth="1"/>
    <col min="9" max="9" width="5.42578125" style="3" customWidth="1"/>
    <col min="10" max="10" width="14.140625" style="327" customWidth="1"/>
    <col min="11" max="11" width="5.28515625" style="328" customWidth="1"/>
    <col min="12" max="12" width="13.140625" style="328" customWidth="1"/>
    <col min="13" max="13" width="35.85546875" style="328" bestFit="1" customWidth="1"/>
    <col min="14" max="14" width="6.85546875" style="328" customWidth="1"/>
    <col min="15" max="15" width="5.5703125" style="328" customWidth="1"/>
    <col min="16" max="16" width="11.42578125" style="328"/>
    <col min="17" max="16384" width="11.42578125" style="3"/>
  </cols>
  <sheetData>
    <row r="1" spans="1:14" ht="25.5" customHeight="1" x14ac:dyDescent="0.25">
      <c r="A1" s="257">
        <v>10</v>
      </c>
      <c r="B1" s="283">
        <v>11</v>
      </c>
      <c r="C1" s="282">
        <v>42558</v>
      </c>
      <c r="H1" s="258"/>
    </row>
    <row r="2" spans="1:14" ht="97.5" customHeight="1" thickBot="1" x14ac:dyDescent="0.3">
      <c r="H2" s="216"/>
    </row>
    <row r="3" spans="1:14" ht="48" customHeight="1" thickBot="1" x14ac:dyDescent="0.3">
      <c r="B3" s="358" t="s">
        <v>918</v>
      </c>
      <c r="C3" s="359"/>
      <c r="D3" s="359"/>
      <c r="E3" s="359"/>
      <c r="F3" s="359"/>
      <c r="G3" s="359"/>
      <c r="H3" s="360"/>
    </row>
    <row r="4" spans="1:14" ht="15.75" thickBot="1" x14ac:dyDescent="0.3">
      <c r="B4" s="361"/>
      <c r="C4" s="362"/>
      <c r="D4" s="362"/>
      <c r="E4" s="362"/>
      <c r="F4" s="362"/>
      <c r="G4" s="362"/>
      <c r="H4" s="363"/>
      <c r="K4" s="329"/>
    </row>
    <row r="5" spans="1:14" ht="15.75" thickBot="1" x14ac:dyDescent="0.3">
      <c r="K5" s="328" t="s">
        <v>261</v>
      </c>
      <c r="L5" s="328" t="s">
        <v>530</v>
      </c>
      <c r="M5" s="328" t="s">
        <v>516</v>
      </c>
      <c r="N5" s="328" t="s">
        <v>528</v>
      </c>
    </row>
    <row r="6" spans="1:14" ht="15.75" thickBot="1" x14ac:dyDescent="0.3">
      <c r="C6" s="5" t="s">
        <v>646</v>
      </c>
      <c r="E6" s="3" t="s">
        <v>243</v>
      </c>
      <c r="F6" s="175"/>
      <c r="G6" s="6" t="s">
        <v>244</v>
      </c>
      <c r="H6" s="175"/>
      <c r="K6" s="328">
        <v>1</v>
      </c>
      <c r="L6" s="328" t="s">
        <v>531</v>
      </c>
      <c r="M6" s="328" t="s">
        <v>529</v>
      </c>
      <c r="N6" s="328">
        <f>SUM(I8:I45)</f>
        <v>6</v>
      </c>
    </row>
    <row r="7" spans="1:14" ht="8.25" customHeight="1" x14ac:dyDescent="0.25"/>
    <row r="8" spans="1:14" ht="15.75" x14ac:dyDescent="0.25">
      <c r="B8" s="7" t="s">
        <v>245</v>
      </c>
      <c r="C8" s="8" t="s">
        <v>246</v>
      </c>
      <c r="D8" s="9"/>
      <c r="E8" s="9"/>
      <c r="F8" s="356" t="s">
        <v>1118</v>
      </c>
      <c r="G8" s="226" t="s">
        <v>247</v>
      </c>
      <c r="H8" s="10"/>
      <c r="I8" s="255">
        <f>IF(H8=0,1,"")</f>
        <v>1</v>
      </c>
      <c r="K8" s="328">
        <v>2</v>
      </c>
      <c r="L8" s="328" t="s">
        <v>372</v>
      </c>
      <c r="M8" s="328" t="s">
        <v>532</v>
      </c>
      <c r="N8" s="328" t="str">
        <f>IF(Resumen!K4&gt;0,"OK :"&amp;Resumen!K4&amp;" Lt:"&amp;Resumen!K5,"Falta")</f>
        <v>Falta</v>
      </c>
    </row>
    <row r="9" spans="1:14" ht="7.5" customHeight="1" x14ac:dyDescent="0.25">
      <c r="I9" s="256"/>
    </row>
    <row r="10" spans="1:14" ht="60.75" customHeight="1" x14ac:dyDescent="0.25">
      <c r="C10" s="11" t="s">
        <v>248</v>
      </c>
      <c r="D10" s="369"/>
      <c r="E10" s="370"/>
      <c r="F10" s="370"/>
      <c r="G10" s="370"/>
      <c r="H10" s="371"/>
      <c r="I10" s="255">
        <f>IF(D10=0,1,"")</f>
        <v>1</v>
      </c>
    </row>
    <row r="11" spans="1:14" x14ac:dyDescent="0.25">
      <c r="B11" s="7" t="s">
        <v>249</v>
      </c>
      <c r="C11" s="12" t="s">
        <v>911</v>
      </c>
      <c r="D11" s="9"/>
      <c r="E11" s="372"/>
      <c r="F11" s="372"/>
      <c r="G11" s="372"/>
      <c r="H11" s="372"/>
      <c r="I11" s="256"/>
      <c r="K11" s="328">
        <v>3</v>
      </c>
      <c r="L11" s="328" t="s">
        <v>334</v>
      </c>
      <c r="M11" s="328" t="s">
        <v>535</v>
      </c>
      <c r="N11" s="328" t="str">
        <f>IF(Descripción!K5&gt;0,"OK :"&amp;Descripción!K5&amp;" Lt:"&amp;Descripción!K6,"Falta")</f>
        <v>Falta</v>
      </c>
    </row>
    <row r="12" spans="1:14" x14ac:dyDescent="0.25">
      <c r="C12" s="13" t="s">
        <v>908</v>
      </c>
      <c r="D12" s="378"/>
      <c r="E12" s="383"/>
      <c r="F12" s="383"/>
      <c r="G12" s="383"/>
      <c r="H12" s="377"/>
      <c r="I12" s="255">
        <f>IF(E12=0,1,"")</f>
        <v>1</v>
      </c>
    </row>
    <row r="13" spans="1:14" ht="6.75" customHeight="1" x14ac:dyDescent="0.25">
      <c r="C13" s="13"/>
      <c r="I13" s="256"/>
    </row>
    <row r="14" spans="1:14" x14ac:dyDescent="0.25">
      <c r="C14" s="13" t="s">
        <v>250</v>
      </c>
      <c r="D14" s="378"/>
      <c r="E14" s="377"/>
      <c r="F14" s="13" t="s">
        <v>565</v>
      </c>
      <c r="G14" s="379" t="s">
        <v>388</v>
      </c>
      <c r="H14" s="380"/>
      <c r="I14" s="255" t="str">
        <f>IF(G14=0,1,"")</f>
        <v/>
      </c>
      <c r="K14" s="328">
        <v>4</v>
      </c>
      <c r="L14" s="328" t="s">
        <v>537</v>
      </c>
      <c r="M14" s="328" t="s">
        <v>538</v>
      </c>
      <c r="N14" s="328" t="str">
        <f>IF(Objetivos!K9&gt;0,"OK","Falta")</f>
        <v>Falta</v>
      </c>
    </row>
    <row r="15" spans="1:14" x14ac:dyDescent="0.25">
      <c r="C15" s="13" t="s">
        <v>251</v>
      </c>
      <c r="D15" s="378"/>
      <c r="E15" s="377"/>
      <c r="G15" s="13" t="s">
        <v>252</v>
      </c>
      <c r="H15" s="14"/>
      <c r="I15" s="256"/>
      <c r="K15" s="328">
        <v>5</v>
      </c>
      <c r="L15" s="328" t="s">
        <v>537</v>
      </c>
      <c r="M15" s="328" t="s">
        <v>539</v>
      </c>
      <c r="N15" s="328" t="str">
        <f>IF(Objetivos!K11&gt;0,"OK","Falta")</f>
        <v>Falta</v>
      </c>
    </row>
    <row r="16" spans="1:14" x14ac:dyDescent="0.25">
      <c r="C16" s="13" t="s">
        <v>253</v>
      </c>
      <c r="D16" s="381"/>
      <c r="E16" s="382"/>
      <c r="F16" s="13" t="s">
        <v>254</v>
      </c>
      <c r="G16" s="376"/>
      <c r="H16" s="377"/>
      <c r="I16" s="255">
        <f>IF(G16=0,1,"")</f>
        <v>1</v>
      </c>
    </row>
    <row r="17" spans="2:14" x14ac:dyDescent="0.25">
      <c r="I17" s="256"/>
      <c r="K17" s="328">
        <v>6</v>
      </c>
      <c r="L17" s="328" t="s">
        <v>540</v>
      </c>
      <c r="M17" s="328" t="s">
        <v>541</v>
      </c>
      <c r="N17" s="328" t="str">
        <f>IF(Metodología!K5&gt;0,"OK","Falta")</f>
        <v>Falta</v>
      </c>
    </row>
    <row r="18" spans="2:14" x14ac:dyDescent="0.25">
      <c r="B18" s="7" t="s">
        <v>255</v>
      </c>
      <c r="C18" s="8" t="s">
        <v>256</v>
      </c>
      <c r="D18" s="9"/>
      <c r="E18" s="9"/>
      <c r="F18" s="15"/>
      <c r="G18" s="9"/>
      <c r="H18" s="9"/>
      <c r="I18" s="256"/>
    </row>
    <row r="19" spans="2:14" ht="15" customHeight="1" x14ac:dyDescent="0.25">
      <c r="C19" s="357" t="s">
        <v>1117</v>
      </c>
      <c r="D19" s="351"/>
      <c r="E19" s="351"/>
      <c r="F19" s="352"/>
      <c r="G19" s="16" t="s">
        <v>257</v>
      </c>
      <c r="H19" s="295" t="str">
        <f>IFERROR(VLOOKUP($H$20,Opciones!$G$16:$H$22,2,0),"NA")</f>
        <v>No</v>
      </c>
      <c r="I19" s="255" t="str">
        <f>IF(C19=0,1,"")</f>
        <v/>
      </c>
      <c r="J19" s="327" t="e">
        <f>VLOOKUP($C$19,Opciones!AP3:AQ73,2,0)</f>
        <v>#N/A</v>
      </c>
      <c r="K19" s="328">
        <v>7</v>
      </c>
      <c r="L19" s="328" t="s">
        <v>443</v>
      </c>
      <c r="M19" s="328" t="s">
        <v>542</v>
      </c>
      <c r="N19" s="328" t="str">
        <f>IF(Estado_del_Arte!K5&gt;0,"OK","Falta")</f>
        <v>Falta</v>
      </c>
    </row>
    <row r="20" spans="2:14" x14ac:dyDescent="0.25">
      <c r="C20" s="353"/>
      <c r="D20" s="354"/>
      <c r="E20" s="354"/>
      <c r="F20" s="355"/>
      <c r="G20" s="16" t="s">
        <v>259</v>
      </c>
      <c r="H20" s="296" t="str">
        <f>IFERROR(VLOOKUP($C$19,Opciones!$AP$3:$AR$73,3,0),"NR")</f>
        <v>NR</v>
      </c>
      <c r="I20" s="256"/>
    </row>
    <row r="21" spans="2:14" ht="8.25" customHeight="1" x14ac:dyDescent="0.25">
      <c r="I21" s="256"/>
    </row>
    <row r="22" spans="2:14" ht="39.950000000000003" customHeight="1" x14ac:dyDescent="0.25">
      <c r="C22" s="294" t="s">
        <v>260</v>
      </c>
      <c r="D22" s="366"/>
      <c r="E22" s="367"/>
      <c r="F22" s="367"/>
      <c r="G22" s="367"/>
      <c r="H22" s="368"/>
      <c r="I22" s="255">
        <f>IF(AND(E22=0,E23=0),1,"")</f>
        <v>1</v>
      </c>
      <c r="J22" s="327" t="e">
        <f>VLOOKUP($C$19,Opciones!AP3:AW73,5,0)</f>
        <v>#N/A</v>
      </c>
      <c r="L22" s="330">
        <f ca="1">IF(J23=0,D22," ")</f>
        <v>0</v>
      </c>
    </row>
    <row r="23" spans="2:14" ht="15" customHeight="1" x14ac:dyDescent="0.25">
      <c r="C23" s="291"/>
      <c r="D23" s="292"/>
      <c r="E23" s="292"/>
      <c r="F23" s="292"/>
      <c r="G23" s="292"/>
      <c r="I23" s="292"/>
      <c r="J23" s="327">
        <f ca="1">COUNTIF($L$57:$L$68,D22)</f>
        <v>0</v>
      </c>
      <c r="K23" s="328">
        <v>8</v>
      </c>
      <c r="L23" s="328" t="s">
        <v>371</v>
      </c>
      <c r="M23" s="328" t="s">
        <v>543</v>
      </c>
      <c r="N23" s="328" t="str">
        <f>IF(Cronograma!K10=0,"Falta",Cronograma!K10)</f>
        <v>Falta</v>
      </c>
    </row>
    <row r="24" spans="2:14" ht="17.25" customHeight="1" x14ac:dyDescent="0.25">
      <c r="C24" s="140" t="s">
        <v>909</v>
      </c>
      <c r="D24" s="140"/>
      <c r="E24" s="140"/>
      <c r="F24" s="140"/>
      <c r="G24" s="378"/>
      <c r="H24" s="377"/>
      <c r="I24" s="255">
        <f>IF(G24=0,1,"")</f>
        <v>1</v>
      </c>
      <c r="K24" s="328">
        <v>9</v>
      </c>
      <c r="L24" s="328" t="s">
        <v>371</v>
      </c>
      <c r="M24" s="328" t="s">
        <v>544</v>
      </c>
      <c r="N24" s="328" t="str">
        <f>IF(N23="Falta","NA",IF(Cronograma!L10&gt;0,"Ojo Tiene :"&amp;Cronograma!L10,"OK"))</f>
        <v>NA</v>
      </c>
    </row>
    <row r="25" spans="2:14" x14ac:dyDescent="0.25">
      <c r="I25" s="256"/>
    </row>
    <row r="26" spans="2:14" hidden="1" x14ac:dyDescent="0.25">
      <c r="B26" s="7"/>
      <c r="C26" s="7"/>
      <c r="D26" s="7"/>
      <c r="E26" s="7"/>
      <c r="F26" s="7"/>
      <c r="G26" s="7"/>
      <c r="H26" s="7"/>
      <c r="I26" s="7"/>
      <c r="K26" s="328">
        <v>10</v>
      </c>
      <c r="L26" s="328" t="s">
        <v>545</v>
      </c>
      <c r="M26" s="328" t="str">
        <f>"No. Producción en Categoría "&amp;PD!$C36&amp;" :"</f>
        <v>No. Producción en Categoría GNC :</v>
      </c>
      <c r="N26" s="328">
        <f>PD!$H36</f>
        <v>0</v>
      </c>
    </row>
    <row r="27" spans="2:14" hidden="1" x14ac:dyDescent="0.25">
      <c r="B27" s="7"/>
      <c r="C27" s="7"/>
      <c r="D27" s="7"/>
      <c r="E27" s="7"/>
      <c r="F27" s="7"/>
      <c r="G27" s="7"/>
      <c r="H27" s="7"/>
      <c r="I27" s="7"/>
      <c r="K27" s="328">
        <v>11</v>
      </c>
      <c r="L27" s="328" t="s">
        <v>545</v>
      </c>
      <c r="M27" s="328" t="str">
        <f>"No. Producción en Categoría "&amp;PD!$C37&amp;" :"</f>
        <v>No. Producción en Categoría FRH :</v>
      </c>
      <c r="N27" s="328">
        <f>PD!$H37</f>
        <v>0</v>
      </c>
    </row>
    <row r="28" spans="2:14" hidden="1" x14ac:dyDescent="0.25">
      <c r="B28" s="7"/>
      <c r="C28" s="7"/>
      <c r="D28" s="7"/>
      <c r="E28" s="7"/>
      <c r="F28" s="7"/>
      <c r="G28" s="7"/>
      <c r="H28" s="7"/>
      <c r="I28" s="7"/>
      <c r="K28" s="328">
        <v>12</v>
      </c>
      <c r="L28" s="328" t="s">
        <v>545</v>
      </c>
      <c r="M28" s="328" t="str">
        <f>"No. Producción en Categoría "&amp;PD!$C38&amp;" :"</f>
        <v>No. Producción en Categoría SAC :</v>
      </c>
      <c r="N28" s="328">
        <f>PD!$H38</f>
        <v>0</v>
      </c>
    </row>
    <row r="29" spans="2:14" hidden="1" x14ac:dyDescent="0.25">
      <c r="B29" s="7"/>
      <c r="C29" s="7"/>
      <c r="D29" s="7"/>
      <c r="E29" s="7"/>
      <c r="F29" s="7"/>
      <c r="G29" s="7"/>
      <c r="H29" s="7"/>
      <c r="I29" s="7"/>
      <c r="K29" s="328">
        <v>13</v>
      </c>
      <c r="L29" s="328" t="s">
        <v>545</v>
      </c>
      <c r="M29" s="328" t="str">
        <f>"No. Producción en Categoría "&amp;PD!$C39&amp;" :"</f>
        <v>No. Producción en Categoría GI :</v>
      </c>
      <c r="N29" s="328">
        <f>PD!$H39</f>
        <v>0</v>
      </c>
    </row>
    <row r="30" spans="2:14" ht="39.950000000000003" hidden="1" customHeight="1" x14ac:dyDescent="0.25">
      <c r="B30" s="7"/>
      <c r="C30" s="7"/>
      <c r="D30" s="7"/>
      <c r="E30" s="7"/>
      <c r="F30" s="7"/>
      <c r="G30" s="7"/>
      <c r="H30" s="7"/>
      <c r="I30" s="7"/>
    </row>
    <row r="31" spans="2:14" ht="15" hidden="1" customHeight="1" x14ac:dyDescent="0.25">
      <c r="B31" s="7"/>
      <c r="C31" s="7"/>
      <c r="D31" s="7"/>
      <c r="E31" s="7"/>
      <c r="F31" s="7"/>
      <c r="G31" s="7"/>
      <c r="H31" s="7"/>
      <c r="I31" s="7"/>
      <c r="K31" s="328">
        <v>14</v>
      </c>
      <c r="L31" s="328" t="s">
        <v>545</v>
      </c>
      <c r="M31" s="328" t="s">
        <v>549</v>
      </c>
      <c r="N31" s="328">
        <f>PD!L7</f>
        <v>0</v>
      </c>
    </row>
    <row r="32" spans="2:14" ht="9" customHeight="1" x14ac:dyDescent="0.25">
      <c r="B32" s="7"/>
      <c r="C32" s="7"/>
      <c r="D32" s="7"/>
      <c r="E32" s="7"/>
      <c r="F32" s="7"/>
      <c r="G32" s="7"/>
      <c r="H32" s="7"/>
      <c r="I32" s="7"/>
    </row>
    <row r="33" spans="2:14" x14ac:dyDescent="0.25">
      <c r="B33" s="7"/>
      <c r="C33" s="7"/>
      <c r="D33" s="7"/>
      <c r="E33" s="7"/>
      <c r="F33" s="7"/>
      <c r="G33" s="7"/>
      <c r="H33" s="7"/>
      <c r="I33" s="7"/>
      <c r="K33" s="328">
        <v>15</v>
      </c>
      <c r="L33" s="328" t="s">
        <v>370</v>
      </c>
      <c r="M33" s="328" t="s">
        <v>550</v>
      </c>
      <c r="N33" s="328">
        <f>Integrantes!Q33</f>
        <v>0</v>
      </c>
    </row>
    <row r="34" spans="2:14" x14ac:dyDescent="0.25">
      <c r="B34" s="7">
        <v>4</v>
      </c>
      <c r="C34" s="8" t="s">
        <v>900</v>
      </c>
      <c r="D34" s="9"/>
      <c r="E34" s="9"/>
      <c r="F34" s="15" t="e">
        <f>VLOOKUP(C35,Opciones!#REF!,2,0)</f>
        <v>#REF!</v>
      </c>
      <c r="G34" s="9"/>
      <c r="H34" s="9"/>
      <c r="I34" s="256"/>
    </row>
    <row r="35" spans="2:14" x14ac:dyDescent="0.25">
      <c r="K35" s="328">
        <v>16</v>
      </c>
      <c r="L35" s="328" t="s">
        <v>370</v>
      </c>
      <c r="M35" s="328" t="s">
        <v>551</v>
      </c>
      <c r="N35" s="328" t="e">
        <f>Integrantes!#REF!</f>
        <v>#REF!</v>
      </c>
    </row>
    <row r="36" spans="2:14" ht="31.5" customHeight="1" x14ac:dyDescent="0.25">
      <c r="C36" s="3" t="s">
        <v>907</v>
      </c>
      <c r="D36" s="126"/>
      <c r="E36" s="373"/>
      <c r="F36" s="374"/>
      <c r="G36" s="375"/>
      <c r="H36" s="126"/>
    </row>
    <row r="37" spans="2:14" x14ac:dyDescent="0.25">
      <c r="K37" s="328">
        <v>17</v>
      </c>
      <c r="L37" s="328" t="s">
        <v>370</v>
      </c>
      <c r="M37" s="328" t="s">
        <v>552</v>
      </c>
      <c r="N37" s="328" t="e">
        <f>Integrantes!#REF!</f>
        <v>#REF!</v>
      </c>
    </row>
    <row r="38" spans="2:14" x14ac:dyDescent="0.25">
      <c r="C38" s="315" t="s">
        <v>901</v>
      </c>
      <c r="E38" s="5" t="s">
        <v>904</v>
      </c>
      <c r="K38" s="328">
        <v>18</v>
      </c>
      <c r="L38" s="328" t="s">
        <v>370</v>
      </c>
      <c r="M38" s="328" t="s">
        <v>553</v>
      </c>
      <c r="N38" s="328" t="e">
        <f>Integrantes!#REF!</f>
        <v>#REF!</v>
      </c>
    </row>
    <row r="39" spans="2:14" x14ac:dyDescent="0.25">
      <c r="C39" s="315" t="s">
        <v>123</v>
      </c>
      <c r="E39" s="3" t="s">
        <v>906</v>
      </c>
    </row>
    <row r="40" spans="2:14" x14ac:dyDescent="0.25">
      <c r="C40" s="315" t="s">
        <v>902</v>
      </c>
      <c r="E40" s="3" t="s">
        <v>905</v>
      </c>
      <c r="K40" s="328">
        <v>19</v>
      </c>
      <c r="L40" s="328" t="s">
        <v>370</v>
      </c>
      <c r="M40" s="328" t="s">
        <v>554</v>
      </c>
      <c r="N40" s="328" t="e">
        <f>Integrantes!#REF!</f>
        <v>#REF!</v>
      </c>
    </row>
    <row r="41" spans="2:14" x14ac:dyDescent="0.25">
      <c r="C41" s="315" t="s">
        <v>903</v>
      </c>
      <c r="K41" s="328">
        <v>20</v>
      </c>
      <c r="L41" s="328" t="s">
        <v>370</v>
      </c>
      <c r="M41" s="328" t="s">
        <v>555</v>
      </c>
      <c r="N41" s="328" t="e">
        <f>Integrantes!#REF!</f>
        <v>#REF!</v>
      </c>
    </row>
    <row r="42" spans="2:14" x14ac:dyDescent="0.25">
      <c r="K42" s="328">
        <v>21</v>
      </c>
      <c r="L42" s="328" t="s">
        <v>370</v>
      </c>
      <c r="M42" s="328" t="s">
        <v>817</v>
      </c>
      <c r="N42" s="328">
        <f>Integrantes!O10</f>
        <v>1</v>
      </c>
    </row>
    <row r="43" spans="2:14" x14ac:dyDescent="0.25">
      <c r="B43" s="7">
        <v>5</v>
      </c>
      <c r="C43" s="17" t="s">
        <v>262</v>
      </c>
      <c r="D43" s="9"/>
      <c r="E43" s="9"/>
      <c r="F43" s="9"/>
      <c r="G43" s="9"/>
      <c r="H43" s="9"/>
      <c r="I43" s="256"/>
      <c r="K43" s="328">
        <v>22</v>
      </c>
      <c r="L43" s="328" t="s">
        <v>462</v>
      </c>
      <c r="M43" s="328" t="s">
        <v>818</v>
      </c>
      <c r="N43" s="328">
        <f>Integrantes!O11</f>
        <v>0</v>
      </c>
    </row>
    <row r="44" spans="2:14" x14ac:dyDescent="0.25">
      <c r="C44" s="13"/>
      <c r="E44" s="254"/>
      <c r="I44" s="256"/>
      <c r="K44" s="328">
        <v>22</v>
      </c>
      <c r="L44" s="328" t="s">
        <v>462</v>
      </c>
      <c r="M44" s="328" t="s">
        <v>556</v>
      </c>
      <c r="N44" s="328">
        <f>Integrantes!O12</f>
        <v>0</v>
      </c>
    </row>
    <row r="45" spans="2:14" x14ac:dyDescent="0.25">
      <c r="C45" s="364" t="s">
        <v>454</v>
      </c>
      <c r="D45" s="365"/>
      <c r="E45" s="384" t="s">
        <v>1119</v>
      </c>
      <c r="F45" s="385"/>
      <c r="G45" s="385"/>
      <c r="H45" s="386"/>
      <c r="I45" s="255" t="str">
        <f>IF(E45=0,1,"")</f>
        <v/>
      </c>
    </row>
    <row r="46" spans="2:14" x14ac:dyDescent="0.25">
      <c r="C46" s="364" t="s">
        <v>263</v>
      </c>
      <c r="D46" s="365"/>
      <c r="E46" s="293">
        <v>5</v>
      </c>
      <c r="F46" s="263"/>
      <c r="G46" s="233" t="s">
        <v>474</v>
      </c>
      <c r="H46" s="264">
        <f>Presupuesto</f>
        <v>0</v>
      </c>
      <c r="K46" s="328">
        <v>18</v>
      </c>
      <c r="L46" s="328" t="s">
        <v>560</v>
      </c>
      <c r="M46" s="328" t="str">
        <f>"Se Regitran:"&amp;Impactos!L6&amp;", con No Letras :"</f>
        <v>Se Regitran:0, con No Letras :</v>
      </c>
      <c r="N46" s="328">
        <f>Impactos!L5</f>
        <v>0</v>
      </c>
    </row>
    <row r="47" spans="2:14" x14ac:dyDescent="0.25">
      <c r="F47" s="119"/>
      <c r="G47" s="119"/>
      <c r="H47" s="119"/>
      <c r="K47" s="328">
        <v>19</v>
      </c>
      <c r="L47" s="328" t="s">
        <v>561</v>
      </c>
      <c r="M47" s="328" t="s">
        <v>562</v>
      </c>
      <c r="N47" s="328">
        <f>Grupo!L5</f>
        <v>9</v>
      </c>
    </row>
    <row r="48" spans="2:14" x14ac:dyDescent="0.25">
      <c r="G48" s="3" t="s">
        <v>1117</v>
      </c>
      <c r="K48" s="328">
        <v>20</v>
      </c>
      <c r="L48" s="328" t="s">
        <v>563</v>
      </c>
      <c r="M48" s="328" t="s">
        <v>564</v>
      </c>
      <c r="N48" s="328">
        <f>Biblografia!L4</f>
        <v>0</v>
      </c>
    </row>
    <row r="49" spans="3:17" x14ac:dyDescent="0.25"/>
    <row r="50" spans="3:17" x14ac:dyDescent="0.25"/>
    <row r="51" spans="3:17" x14ac:dyDescent="0.25">
      <c r="C51" s="3" t="s">
        <v>651</v>
      </c>
    </row>
    <row r="52" spans="3:17" x14ac:dyDescent="0.25">
      <c r="L52" s="328" t="s">
        <v>566</v>
      </c>
    </row>
    <row r="53" spans="3:17" x14ac:dyDescent="0.25">
      <c r="L53" s="328">
        <f>Presupuesto!H79</f>
        <v>0</v>
      </c>
    </row>
    <row r="54" spans="3:17" x14ac:dyDescent="0.25">
      <c r="Q54" s="333"/>
    </row>
    <row r="55" spans="3:17" x14ac:dyDescent="0.25">
      <c r="C55" s="256" t="s">
        <v>917</v>
      </c>
      <c r="Q55" s="333"/>
    </row>
    <row r="56" spans="3:17" x14ac:dyDescent="0.25">
      <c r="J56" s="327" t="s">
        <v>655</v>
      </c>
      <c r="K56" s="328" t="s">
        <v>648</v>
      </c>
      <c r="L56" s="328" t="e">
        <f>VLOOKUP($J19,Opciones!$AQ$3:$AW$73,6,0)</f>
        <v>#N/A</v>
      </c>
      <c r="M56" s="328" t="e">
        <f>VLOOKUP($J19,Opciones!$AQ$3:$AW$73,7,0)</f>
        <v>#N/A</v>
      </c>
      <c r="N56" s="328" t="e">
        <f>M56-L56</f>
        <v>#N/A</v>
      </c>
      <c r="Q56" s="333"/>
    </row>
    <row r="57" spans="3:17" x14ac:dyDescent="0.25">
      <c r="C57" s="256" t="s">
        <v>916</v>
      </c>
      <c r="J57" s="327" t="e">
        <f>J19</f>
        <v>#N/A</v>
      </c>
      <c r="K57" s="328">
        <v>0</v>
      </c>
      <c r="L57" s="331" t="e">
        <f ca="1">INDIRECT("opciones!"&amp;$K$56&amp;(L$56+$K57),1)</f>
        <v>#N/A</v>
      </c>
      <c r="M57" s="332"/>
      <c r="Q57" s="333"/>
    </row>
    <row r="58" spans="3:17" x14ac:dyDescent="0.25">
      <c r="J58" s="327" t="e">
        <f>J22</f>
        <v>#N/A</v>
      </c>
      <c r="K58" s="328" t="e">
        <f>IF(K57&lt;$N$56,K57+1,"x")</f>
        <v>#N/A</v>
      </c>
      <c r="L58" s="331" t="str">
        <f t="shared" ref="L58:L62" ca="1" si="0">IFERROR(INDIRECT("opciones!"&amp;$K$56&amp;(L$56+$K58),1)," x")</f>
        <v xml:space="preserve"> x</v>
      </c>
      <c r="M58" s="332"/>
      <c r="Q58" s="333"/>
    </row>
    <row r="59" spans="3:17" x14ac:dyDescent="0.25">
      <c r="K59" s="328" t="e">
        <f t="shared" ref="K59:K61" si="1">IF(K58&lt;$N$56,K58+1,"x")</f>
        <v>#N/A</v>
      </c>
      <c r="L59" s="331" t="str">
        <f t="shared" ca="1" si="0"/>
        <v xml:space="preserve"> x</v>
      </c>
      <c r="M59" s="332"/>
      <c r="Q59" s="333"/>
    </row>
    <row r="60" spans="3:17" x14ac:dyDescent="0.25">
      <c r="K60" s="328" t="e">
        <f t="shared" si="1"/>
        <v>#N/A</v>
      </c>
      <c r="L60" s="331" t="str">
        <f t="shared" ca="1" si="0"/>
        <v xml:space="preserve"> x</v>
      </c>
      <c r="M60" s="332"/>
      <c r="Q60" s="333"/>
    </row>
    <row r="61" spans="3:17" x14ac:dyDescent="0.25">
      <c r="K61" s="328" t="e">
        <f t="shared" si="1"/>
        <v>#N/A</v>
      </c>
      <c r="L61" s="331" t="str">
        <f t="shared" ca="1" si="0"/>
        <v xml:space="preserve"> x</v>
      </c>
      <c r="M61" s="332"/>
      <c r="Q61" s="333"/>
    </row>
    <row r="62" spans="3:17" x14ac:dyDescent="0.25">
      <c r="K62" s="328" t="e">
        <f t="shared" ref="K62:K68" si="2">IF(K61&lt;$N$56,K61+1,"x")</f>
        <v>#N/A</v>
      </c>
      <c r="L62" s="331" t="str">
        <f t="shared" ca="1" si="0"/>
        <v xml:space="preserve"> x</v>
      </c>
      <c r="M62" s="332"/>
      <c r="Q62" s="333"/>
    </row>
    <row r="63" spans="3:17" x14ac:dyDescent="0.25">
      <c r="K63" s="328" t="e">
        <f t="shared" si="2"/>
        <v>#N/A</v>
      </c>
      <c r="L63" s="331" t="str">
        <f t="shared" ref="L63:L68" ca="1" si="3">IFERROR(INDIRECT("opciones!"&amp;$K$56&amp;(L$56+$K63),1)," x")</f>
        <v xml:space="preserve"> x</v>
      </c>
      <c r="M63" s="332"/>
      <c r="Q63" s="333"/>
    </row>
    <row r="64" spans="3:17" x14ac:dyDescent="0.25">
      <c r="K64" s="328" t="e">
        <f t="shared" si="2"/>
        <v>#N/A</v>
      </c>
      <c r="L64" s="331" t="str">
        <f t="shared" ca="1" si="3"/>
        <v xml:space="preserve"> x</v>
      </c>
      <c r="M64" s="332"/>
      <c r="Q64" s="333"/>
    </row>
    <row r="65" spans="11:17" x14ac:dyDescent="0.25">
      <c r="K65" s="328" t="e">
        <f t="shared" si="2"/>
        <v>#N/A</v>
      </c>
      <c r="L65" s="331" t="str">
        <f t="shared" ca="1" si="3"/>
        <v xml:space="preserve"> x</v>
      </c>
      <c r="M65" s="332"/>
      <c r="Q65" s="333"/>
    </row>
    <row r="66" spans="11:17" x14ac:dyDescent="0.25">
      <c r="K66" s="328" t="e">
        <f t="shared" si="2"/>
        <v>#N/A</v>
      </c>
      <c r="L66" s="331" t="str">
        <f t="shared" ca="1" si="3"/>
        <v xml:space="preserve"> x</v>
      </c>
      <c r="M66" s="332"/>
      <c r="Q66" s="333"/>
    </row>
    <row r="67" spans="11:17" x14ac:dyDescent="0.25">
      <c r="K67" s="328" t="e">
        <f t="shared" si="2"/>
        <v>#N/A</v>
      </c>
      <c r="L67" s="331" t="str">
        <f t="shared" ca="1" si="3"/>
        <v xml:space="preserve"> x</v>
      </c>
      <c r="M67" s="332"/>
      <c r="Q67" s="333"/>
    </row>
    <row r="68" spans="11:17" x14ac:dyDescent="0.25">
      <c r="K68" s="328" t="e">
        <f t="shared" si="2"/>
        <v>#N/A</v>
      </c>
      <c r="L68" s="331" t="str">
        <f t="shared" ca="1" si="3"/>
        <v xml:space="preserve"> x</v>
      </c>
      <c r="M68" s="332"/>
      <c r="Q68" s="333"/>
    </row>
    <row r="69" spans="11:17" x14ac:dyDescent="0.25"/>
  </sheetData>
  <sheetProtection algorithmName="SHA-512" hashValue="lRQXExDxP5DJwMQrZPEQCLXEx7ncY6GjHcQsB4IBCvpRutnAETX8rOjT11Z+ww1RERsfli9DVWLl5bFDu+uHHg==" saltValue="i23uRtS0PHUw0nJOho0G3g==" spinCount="100000" sheet="1" objects="1" scenarios="1"/>
  <mergeCells count="15">
    <mergeCell ref="B3:H4"/>
    <mergeCell ref="C46:D46"/>
    <mergeCell ref="D22:H22"/>
    <mergeCell ref="D10:H10"/>
    <mergeCell ref="E11:H11"/>
    <mergeCell ref="E36:G36"/>
    <mergeCell ref="G16:H16"/>
    <mergeCell ref="D14:E14"/>
    <mergeCell ref="G14:H14"/>
    <mergeCell ref="D15:E15"/>
    <mergeCell ref="D16:E16"/>
    <mergeCell ref="D12:H12"/>
    <mergeCell ref="G24:H24"/>
    <mergeCell ref="C45:D45"/>
    <mergeCell ref="E45:H45"/>
  </mergeCells>
  <conditionalFormatting sqref="D22:H22">
    <cfRule type="cellIs" dxfId="7" priority="29" operator="equal">
      <formula>$L$22</formula>
    </cfRule>
  </conditionalFormatting>
  <dataValidations xWindow="600" yWindow="425" count="7">
    <dataValidation type="whole" allowBlank="1" showInputMessage="1" showErrorMessage="1" errorTitle="Maximo " error="digite un número entre 1 - 60 _x000a_de: &quot;Debe ser conforme a los parametros de la Convocatoria&quot;_x000a_12 A (1)un año _x000a_24 A (2)un años_x000a_32 A (3)un años_x000a_48 A (4)un años_x000a_60 A (2)un años" sqref="E46">
      <formula1>1</formula1>
      <formula2>60</formula2>
    </dataValidation>
    <dataValidation type="list" allowBlank="1" showInputMessage="1" showErrorMessage="1" errorTitle="Tipo de Convocatoria " error="Seleccione una opcion de la lista desplegable." sqref="G14:H14">
      <formula1>TPConvocatoria</formula1>
    </dataValidation>
    <dataValidation type="list" allowBlank="1" showInputMessage="1" showErrorMessage="1" sqref="H8">
      <formula1>Facultades</formula1>
    </dataValidation>
    <dataValidation type="list" allowBlank="1" showInputMessage="1" showErrorMessage="1" sqref="E45:H45">
      <formula1>SEDESUMNG</formula1>
    </dataValidation>
    <dataValidation allowBlank="1" sqref="H19"/>
    <dataValidation type="list" allowBlank="1" showInputMessage="1" showErrorMessage="1" sqref="D22:H22">
      <formula1>INDIRECT("opciones!"&amp;$J$22,1)</formula1>
    </dataValidation>
    <dataValidation type="list" allowBlank="1" showInputMessage="1" showErrorMessage="1" promptTitle="Producto comprometido:" prompt="Producto a generar por la ejecución del proyecto." sqref="E36:G36">
      <formula1>$C$38:$C$41</formula1>
    </dataValidation>
  </dataValidations>
  <printOptions horizontalCentered="1"/>
  <pageMargins left="0.23622047244094491" right="0.23622047244094491" top="0.74803149606299213" bottom="0.74803149606299213" header="0.31496062992125984" footer="0.31496062992125984"/>
  <pageSetup scale="72" orientation="portrait" r:id="rId1"/>
  <drawing r:id="rId2"/>
  <legacyDrawing r:id="rId3"/>
  <controls>
    <mc:AlternateContent xmlns:mc="http://schemas.openxmlformats.org/markup-compatibility/2006">
      <mc:Choice Requires="x14">
        <control shapeId="2054" r:id="rId4" name="ComboBox1">
          <controlPr locked="0" defaultSize="0" autoLine="0" linkedCell="C19" listFillRange="Lt_GP" r:id="rId5">
            <anchor moveWithCells="1">
              <from>
                <xdr:col>2</xdr:col>
                <xdr:colOff>9525</xdr:colOff>
                <xdr:row>18</xdr:row>
                <xdr:rowOff>9525</xdr:rowOff>
              </from>
              <to>
                <xdr:col>6</xdr:col>
                <xdr:colOff>28575</xdr:colOff>
                <xdr:row>19</xdr:row>
                <xdr:rowOff>180975</xdr:rowOff>
              </to>
            </anchor>
          </controlPr>
        </control>
      </mc:Choice>
      <mc:Fallback>
        <control shapeId="2054" r:id="rId4" name="ComboBox1"/>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B1:L18"/>
  <sheetViews>
    <sheetView showGridLines="0" view="pageBreakPreview" zoomScale="85" zoomScaleNormal="85" zoomScaleSheetLayoutView="85" workbookViewId="0">
      <selection activeCell="C13" sqref="C13:H13"/>
    </sheetView>
  </sheetViews>
  <sheetFormatPr baseColWidth="10" defaultRowHeight="15" x14ac:dyDescent="0.25"/>
  <cols>
    <col min="1" max="1" width="4.42578125" customWidth="1"/>
    <col min="2" max="2" width="3.42578125"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7.42578125" customWidth="1"/>
    <col min="12" max="12" width="11.85546875" bestFit="1" customWidth="1"/>
  </cols>
  <sheetData>
    <row r="1" spans="2:12" ht="25.5" customHeight="1" x14ac:dyDescent="0.25"/>
    <row r="2" spans="2:12" ht="99.75" customHeight="1" thickBot="1" x14ac:dyDescent="0.3"/>
    <row r="3" spans="2:12" ht="7.5" hidden="1" customHeight="1" thickBot="1" x14ac:dyDescent="0.3"/>
    <row r="4" spans="2:12" ht="48" customHeight="1" x14ac:dyDescent="0.25">
      <c r="B4" s="387" t="str">
        <f>Datos_Generales!B3</f>
        <v>PRESENTACIÓN DE PROYECTOS 
DE INICIACIÓN CIENTIFÍCA 2018 - 2</v>
      </c>
      <c r="C4" s="388"/>
      <c r="D4" s="388"/>
      <c r="E4" s="388"/>
      <c r="F4" s="388"/>
      <c r="G4" s="388"/>
      <c r="H4" s="389"/>
      <c r="K4" s="206">
        <f>COUNTIF(C9:H80,"&lt;&gt;"&amp;"")</f>
        <v>0</v>
      </c>
      <c r="L4" s="248" t="s">
        <v>533</v>
      </c>
    </row>
    <row r="5" spans="2:12" ht="21.75" thickBot="1" x14ac:dyDescent="0.3">
      <c r="B5" s="390"/>
      <c r="C5" s="391"/>
      <c r="D5" s="391"/>
      <c r="E5" s="391"/>
      <c r="F5" s="391"/>
      <c r="G5" s="391"/>
      <c r="H5" s="392"/>
      <c r="K5" s="206">
        <f>SUM(K9:K80)</f>
        <v>0</v>
      </c>
      <c r="L5" s="248" t="s">
        <v>536</v>
      </c>
    </row>
    <row r="6" spans="2:12" ht="15.75" x14ac:dyDescent="0.25">
      <c r="K6" s="74" t="s">
        <v>342</v>
      </c>
    </row>
    <row r="7" spans="2:12" ht="15.75" x14ac:dyDescent="0.25">
      <c r="B7" s="21" t="s">
        <v>480</v>
      </c>
      <c r="C7" s="22" t="s">
        <v>910</v>
      </c>
      <c r="D7" s="23"/>
      <c r="E7" s="23"/>
      <c r="F7" s="23"/>
      <c r="G7" s="23"/>
      <c r="H7" s="23"/>
      <c r="K7" s="96" t="s">
        <v>464</v>
      </c>
    </row>
    <row r="8" spans="2:12" ht="15.75" thickBot="1" x14ac:dyDescent="0.3">
      <c r="K8" s="199" t="s">
        <v>360</v>
      </c>
    </row>
    <row r="9" spans="2:12" ht="50.1" customHeight="1" x14ac:dyDescent="0.25">
      <c r="B9" s="75">
        <v>1</v>
      </c>
      <c r="C9" s="397"/>
      <c r="D9" s="398"/>
      <c r="E9" s="398"/>
      <c r="F9" s="398"/>
      <c r="G9" s="398"/>
      <c r="H9" s="399"/>
      <c r="K9" s="206">
        <f>LEN(C9)</f>
        <v>0</v>
      </c>
    </row>
    <row r="10" spans="2:12" ht="50.1" customHeight="1" x14ac:dyDescent="0.25">
      <c r="B10" s="142">
        <v>2</v>
      </c>
      <c r="C10" s="400"/>
      <c r="D10" s="401"/>
      <c r="E10" s="401"/>
      <c r="F10" s="401"/>
      <c r="G10" s="401"/>
      <c r="H10" s="402"/>
      <c r="K10" s="206">
        <f>LEN(C10)</f>
        <v>0</v>
      </c>
    </row>
    <row r="11" spans="2:12" ht="50.1" customHeight="1" x14ac:dyDescent="0.25">
      <c r="B11" s="76">
        <v>3</v>
      </c>
      <c r="C11" s="400"/>
      <c r="D11" s="401"/>
      <c r="E11" s="401"/>
      <c r="F11" s="401"/>
      <c r="G11" s="401"/>
      <c r="H11" s="402"/>
      <c r="K11" s="206">
        <f>LEN(C11)</f>
        <v>0</v>
      </c>
    </row>
    <row r="12" spans="2:12" ht="50.1" customHeight="1" x14ac:dyDescent="0.25">
      <c r="B12" s="76">
        <v>4</v>
      </c>
      <c r="C12" s="400"/>
      <c r="D12" s="401"/>
      <c r="E12" s="401"/>
      <c r="F12" s="401"/>
      <c r="G12" s="401"/>
      <c r="H12" s="402"/>
      <c r="K12" s="206">
        <f t="shared" ref="K12:K18" si="0">LEN(C12)</f>
        <v>0</v>
      </c>
    </row>
    <row r="13" spans="2:12" ht="50.1" customHeight="1" x14ac:dyDescent="0.25">
      <c r="B13" s="76">
        <v>5</v>
      </c>
      <c r="C13" s="400"/>
      <c r="D13" s="401"/>
      <c r="E13" s="401"/>
      <c r="F13" s="401"/>
      <c r="G13" s="401"/>
      <c r="H13" s="402"/>
      <c r="K13" s="206">
        <f t="shared" si="0"/>
        <v>0</v>
      </c>
    </row>
    <row r="14" spans="2:12" ht="50.1" customHeight="1" x14ac:dyDescent="0.25">
      <c r="B14" s="76">
        <v>6</v>
      </c>
      <c r="C14" s="400"/>
      <c r="D14" s="401"/>
      <c r="E14" s="401"/>
      <c r="F14" s="401"/>
      <c r="G14" s="401"/>
      <c r="H14" s="402"/>
      <c r="K14" s="206">
        <f t="shared" si="0"/>
        <v>0</v>
      </c>
    </row>
    <row r="15" spans="2:12" ht="50.1" customHeight="1" x14ac:dyDescent="0.25">
      <c r="B15" s="76">
        <v>7</v>
      </c>
      <c r="C15" s="400"/>
      <c r="D15" s="401"/>
      <c r="E15" s="401"/>
      <c r="F15" s="401"/>
      <c r="G15" s="401"/>
      <c r="H15" s="402"/>
      <c r="K15" s="206">
        <f t="shared" si="0"/>
        <v>0</v>
      </c>
    </row>
    <row r="16" spans="2:12" ht="50.1" customHeight="1" x14ac:dyDescent="0.25">
      <c r="B16" s="76">
        <v>8</v>
      </c>
      <c r="C16" s="400"/>
      <c r="D16" s="401"/>
      <c r="E16" s="401"/>
      <c r="F16" s="401"/>
      <c r="G16" s="401"/>
      <c r="H16" s="402"/>
      <c r="K16" s="206">
        <f t="shared" si="0"/>
        <v>0</v>
      </c>
    </row>
    <row r="17" spans="2:11" ht="21.75" thickBot="1" x14ac:dyDescent="0.3">
      <c r="B17" s="77">
        <v>9</v>
      </c>
      <c r="C17" s="394"/>
      <c r="D17" s="395"/>
      <c r="E17" s="395"/>
      <c r="F17" s="395"/>
      <c r="G17" s="395"/>
      <c r="H17" s="396"/>
      <c r="K17" s="206">
        <f t="shared" si="0"/>
        <v>0</v>
      </c>
    </row>
    <row r="18" spans="2:11" ht="21" x14ac:dyDescent="0.25">
      <c r="B18" s="68"/>
      <c r="C18" s="393"/>
      <c r="D18" s="393"/>
      <c r="E18" s="393"/>
      <c r="F18" s="393"/>
      <c r="G18" s="393"/>
      <c r="H18" s="393"/>
      <c r="K18" s="206">
        <f t="shared" si="0"/>
        <v>0</v>
      </c>
    </row>
  </sheetData>
  <sheetProtection selectLockedCells="1"/>
  <mergeCells count="11">
    <mergeCell ref="B4:H5"/>
    <mergeCell ref="C18:H18"/>
    <mergeCell ref="C17:H17"/>
    <mergeCell ref="C9:H9"/>
    <mergeCell ref="C10:H10"/>
    <mergeCell ref="C12:H12"/>
    <mergeCell ref="C11:H11"/>
    <mergeCell ref="C13:H13"/>
    <mergeCell ref="C14:H14"/>
    <mergeCell ref="C15:H15"/>
    <mergeCell ref="C16:H16"/>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B1:M25"/>
  <sheetViews>
    <sheetView showGridLines="0" view="pageBreakPreview" zoomScale="85" zoomScaleNormal="85" zoomScaleSheetLayoutView="85" workbookViewId="0">
      <selection activeCell="C10" sqref="C10:H10"/>
    </sheetView>
  </sheetViews>
  <sheetFormatPr baseColWidth="10" defaultRowHeight="15" x14ac:dyDescent="0.25"/>
  <cols>
    <col min="1" max="1" width="2" customWidth="1"/>
    <col min="2" max="2" width="3.42578125"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7.42578125" customWidth="1"/>
  </cols>
  <sheetData>
    <row r="1" spans="2:13" ht="25.5" customHeight="1" x14ac:dyDescent="0.25"/>
    <row r="2" spans="2:13" ht="108" customHeight="1" thickBot="1" x14ac:dyDescent="0.3"/>
    <row r="3" spans="2:13" ht="7.5" hidden="1" customHeight="1" thickBot="1" x14ac:dyDescent="0.3"/>
    <row r="4" spans="2:13" ht="48" customHeight="1" x14ac:dyDescent="0.25">
      <c r="B4" s="387" t="str">
        <f>Resumen!B4</f>
        <v>PRESENTACIÓN DE PROYECTOS 
DE INICIACIÓN CIENTIFÍCA 2018 - 2</v>
      </c>
      <c r="C4" s="388"/>
      <c r="D4" s="388"/>
      <c r="E4" s="388"/>
      <c r="F4" s="388"/>
      <c r="G4" s="388"/>
      <c r="H4" s="389"/>
    </row>
    <row r="5" spans="2:13" ht="21.75" thickBot="1" x14ac:dyDescent="0.3">
      <c r="B5" s="390"/>
      <c r="C5" s="391"/>
      <c r="D5" s="391"/>
      <c r="E5" s="391"/>
      <c r="F5" s="391"/>
      <c r="G5" s="391"/>
      <c r="H5" s="392"/>
      <c r="K5" s="206">
        <f>COUNTIF(C10:H81,"&lt;&gt;"&amp;"")</f>
        <v>0</v>
      </c>
      <c r="L5" s="248" t="s">
        <v>534</v>
      </c>
    </row>
    <row r="6" spans="2:13" ht="21" x14ac:dyDescent="0.25">
      <c r="K6" s="206">
        <f>SUM(K10:K81)</f>
        <v>0</v>
      </c>
      <c r="L6" s="248" t="s">
        <v>536</v>
      </c>
    </row>
    <row r="7" spans="2:13" ht="15.75" x14ac:dyDescent="0.25">
      <c r="B7" s="21" t="s">
        <v>481</v>
      </c>
      <c r="C7" s="22" t="s">
        <v>410</v>
      </c>
      <c r="D7" s="23"/>
      <c r="E7" s="23"/>
      <c r="F7" s="23"/>
      <c r="G7" s="23"/>
      <c r="H7" s="23"/>
      <c r="K7" s="74" t="s">
        <v>342</v>
      </c>
    </row>
    <row r="8" spans="2:13" ht="15.75" x14ac:dyDescent="0.25">
      <c r="B8" s="21" t="s">
        <v>411</v>
      </c>
      <c r="C8" s="22" t="s">
        <v>477</v>
      </c>
      <c r="D8" s="23"/>
      <c r="E8" s="23"/>
      <c r="F8" s="23"/>
      <c r="G8" s="23"/>
      <c r="H8" s="23"/>
      <c r="K8" s="74" t="s">
        <v>342</v>
      </c>
    </row>
    <row r="9" spans="2:13" ht="16.5" thickBot="1" x14ac:dyDescent="0.3">
      <c r="K9" s="74" t="s">
        <v>409</v>
      </c>
    </row>
    <row r="10" spans="2:13" ht="45" customHeight="1" x14ac:dyDescent="0.25">
      <c r="C10" s="409"/>
      <c r="D10" s="410"/>
      <c r="E10" s="410"/>
      <c r="F10" s="410"/>
      <c r="G10" s="410"/>
      <c r="H10" s="411"/>
      <c r="K10" s="205">
        <f>LEN(C10)</f>
        <v>0</v>
      </c>
    </row>
    <row r="11" spans="2:13" ht="45" customHeight="1" x14ac:dyDescent="0.25">
      <c r="C11" s="412"/>
      <c r="D11" s="413"/>
      <c r="E11" s="413"/>
      <c r="F11" s="413"/>
      <c r="G11" s="413"/>
      <c r="H11" s="414"/>
      <c r="K11" s="205">
        <f t="shared" ref="K11:K25" si="0">LEN(C11)</f>
        <v>0</v>
      </c>
      <c r="M11" s="159"/>
    </row>
    <row r="12" spans="2:13" ht="45" customHeight="1" x14ac:dyDescent="0.25">
      <c r="C12" s="403"/>
      <c r="D12" s="404"/>
      <c r="E12" s="404"/>
      <c r="F12" s="404"/>
      <c r="G12" s="404"/>
      <c r="H12" s="405"/>
      <c r="K12" s="205">
        <f t="shared" si="0"/>
        <v>0</v>
      </c>
      <c r="M12" s="159"/>
    </row>
    <row r="13" spans="2:13" ht="45" customHeight="1" x14ac:dyDescent="0.25">
      <c r="C13" s="412"/>
      <c r="D13" s="413"/>
      <c r="E13" s="413"/>
      <c r="F13" s="413"/>
      <c r="G13" s="413"/>
      <c r="H13" s="414"/>
      <c r="K13" s="205">
        <f t="shared" si="0"/>
        <v>0</v>
      </c>
      <c r="M13" s="159"/>
    </row>
    <row r="14" spans="2:13" ht="45" customHeight="1" x14ac:dyDescent="0.25">
      <c r="C14" s="403"/>
      <c r="D14" s="404"/>
      <c r="E14" s="404"/>
      <c r="F14" s="404"/>
      <c r="G14" s="404"/>
      <c r="H14" s="405"/>
      <c r="K14" s="205">
        <f t="shared" si="0"/>
        <v>0</v>
      </c>
      <c r="M14" s="159"/>
    </row>
    <row r="15" spans="2:13" ht="45" customHeight="1" x14ac:dyDescent="0.25">
      <c r="C15" s="406"/>
      <c r="D15" s="407"/>
      <c r="E15" s="407"/>
      <c r="F15" s="407"/>
      <c r="G15" s="407"/>
      <c r="H15" s="408"/>
      <c r="K15" s="205">
        <f t="shared" si="0"/>
        <v>0</v>
      </c>
      <c r="M15" s="160"/>
    </row>
    <row r="16" spans="2:13" ht="45" customHeight="1" x14ac:dyDescent="0.25">
      <c r="C16" s="403"/>
      <c r="D16" s="404"/>
      <c r="E16" s="404"/>
      <c r="F16" s="404"/>
      <c r="G16" s="404"/>
      <c r="H16" s="405"/>
      <c r="K16" s="205">
        <f t="shared" si="0"/>
        <v>0</v>
      </c>
    </row>
    <row r="17" spans="3:11" ht="45" customHeight="1" x14ac:dyDescent="0.25">
      <c r="C17" s="403"/>
      <c r="D17" s="404"/>
      <c r="E17" s="404"/>
      <c r="F17" s="404"/>
      <c r="G17" s="404"/>
      <c r="H17" s="405"/>
      <c r="K17" s="205">
        <f t="shared" si="0"/>
        <v>0</v>
      </c>
    </row>
    <row r="18" spans="3:11" ht="45" customHeight="1" x14ac:dyDescent="0.25">
      <c r="C18" s="403"/>
      <c r="D18" s="404"/>
      <c r="E18" s="404"/>
      <c r="F18" s="404"/>
      <c r="G18" s="404"/>
      <c r="H18" s="405"/>
      <c r="K18" s="205">
        <f t="shared" si="0"/>
        <v>0</v>
      </c>
    </row>
    <row r="19" spans="3:11" ht="45" customHeight="1" x14ac:dyDescent="0.25">
      <c r="C19" s="403"/>
      <c r="D19" s="404"/>
      <c r="E19" s="404"/>
      <c r="F19" s="404"/>
      <c r="G19" s="404"/>
      <c r="H19" s="405"/>
      <c r="K19" s="205">
        <f t="shared" si="0"/>
        <v>0</v>
      </c>
    </row>
    <row r="20" spans="3:11" ht="45" customHeight="1" x14ac:dyDescent="0.25">
      <c r="C20" s="403"/>
      <c r="D20" s="404"/>
      <c r="E20" s="404"/>
      <c r="F20" s="404"/>
      <c r="G20" s="404"/>
      <c r="H20" s="405"/>
      <c r="K20" s="205">
        <f t="shared" si="0"/>
        <v>0</v>
      </c>
    </row>
    <row r="21" spans="3:11" ht="45" customHeight="1" x14ac:dyDescent="0.25">
      <c r="C21" s="403"/>
      <c r="D21" s="404"/>
      <c r="E21" s="404"/>
      <c r="F21" s="404"/>
      <c r="G21" s="404"/>
      <c r="H21" s="405"/>
      <c r="K21" s="205">
        <f t="shared" si="0"/>
        <v>0</v>
      </c>
    </row>
    <row r="22" spans="3:11" ht="45" customHeight="1" x14ac:dyDescent="0.25">
      <c r="C22" s="403"/>
      <c r="D22" s="404"/>
      <c r="E22" s="404"/>
      <c r="F22" s="404"/>
      <c r="G22" s="404"/>
      <c r="H22" s="405"/>
      <c r="K22" s="205">
        <f t="shared" si="0"/>
        <v>0</v>
      </c>
    </row>
    <row r="23" spans="3:11" ht="45" customHeight="1" x14ac:dyDescent="0.25">
      <c r="C23" s="403"/>
      <c r="D23" s="404"/>
      <c r="E23" s="404"/>
      <c r="F23" s="404"/>
      <c r="G23" s="404"/>
      <c r="H23" s="405"/>
      <c r="K23" s="205">
        <f t="shared" si="0"/>
        <v>0</v>
      </c>
    </row>
    <row r="24" spans="3:11" ht="45" customHeight="1" x14ac:dyDescent="0.25">
      <c r="C24" s="403"/>
      <c r="D24" s="404"/>
      <c r="E24" s="404"/>
      <c r="F24" s="404"/>
      <c r="G24" s="404"/>
      <c r="H24" s="405"/>
      <c r="K24" s="205">
        <f t="shared" si="0"/>
        <v>0</v>
      </c>
    </row>
    <row r="25" spans="3:11" ht="28.5" customHeight="1" x14ac:dyDescent="0.25">
      <c r="C25" s="403"/>
      <c r="D25" s="404"/>
      <c r="E25" s="404"/>
      <c r="F25" s="404"/>
      <c r="G25" s="404"/>
      <c r="H25" s="405"/>
      <c r="K25" s="205">
        <f t="shared" si="0"/>
        <v>0</v>
      </c>
    </row>
  </sheetData>
  <sheetProtection selectLockedCells="1"/>
  <mergeCells count="17">
    <mergeCell ref="C25:H25"/>
    <mergeCell ref="C10:H10"/>
    <mergeCell ref="C11:H11"/>
    <mergeCell ref="C12:H12"/>
    <mergeCell ref="C13:H13"/>
    <mergeCell ref="C18:H18"/>
    <mergeCell ref="C19:H19"/>
    <mergeCell ref="C20:H20"/>
    <mergeCell ref="C21:H21"/>
    <mergeCell ref="C22:H22"/>
    <mergeCell ref="C23:H23"/>
    <mergeCell ref="C24:H24"/>
    <mergeCell ref="C14:H14"/>
    <mergeCell ref="C15:H15"/>
    <mergeCell ref="C16:H16"/>
    <mergeCell ref="C17:H17"/>
    <mergeCell ref="B4:H5"/>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8" tint="0.39997558519241921"/>
  </sheetPr>
  <dimension ref="A1:M53"/>
  <sheetViews>
    <sheetView showGridLines="0" view="pageBreakPreview" zoomScale="80" zoomScaleNormal="85" zoomScaleSheetLayoutView="80" workbookViewId="0">
      <selection activeCell="F7" sqref="F7"/>
    </sheetView>
  </sheetViews>
  <sheetFormatPr baseColWidth="10" defaultColWidth="0" defaultRowHeight="15" zeroHeight="1" x14ac:dyDescent="0.25"/>
  <cols>
    <col min="1" max="1" width="4.42578125" customWidth="1"/>
    <col min="2" max="2" width="4.140625" bestFit="1"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7.42578125" customWidth="1"/>
    <col min="10" max="13" width="11.42578125" customWidth="1"/>
    <col min="14" max="16384" width="11.42578125" hidden="1"/>
  </cols>
  <sheetData>
    <row r="1" spans="2:11" ht="25.5" customHeight="1" x14ac:dyDescent="0.25"/>
    <row r="2" spans="2:11" ht="92.25" customHeight="1" thickBot="1" x14ac:dyDescent="0.3"/>
    <row r="3" spans="2:11" ht="10.5" customHeight="1" x14ac:dyDescent="0.25">
      <c r="B3" s="436" t="str">
        <f>Resumen!B4</f>
        <v>PRESENTACIÓN DE PROYECTOS 
DE INICIACIÓN CIENTIFÍCA 2018 - 2</v>
      </c>
      <c r="C3" s="437"/>
      <c r="D3" s="437"/>
      <c r="E3" s="437"/>
      <c r="F3" s="437"/>
      <c r="G3" s="437"/>
      <c r="H3" s="438"/>
    </row>
    <row r="4" spans="2:11" ht="48" customHeight="1" x14ac:dyDescent="0.25">
      <c r="B4" s="439"/>
      <c r="C4" s="440"/>
      <c r="D4" s="440"/>
      <c r="E4" s="440"/>
      <c r="F4" s="440"/>
      <c r="G4" s="440"/>
      <c r="H4" s="441"/>
    </row>
    <row r="5" spans="2:11" ht="15.75" thickBot="1" x14ac:dyDescent="0.3">
      <c r="B5" s="442"/>
      <c r="C5" s="443"/>
      <c r="D5" s="443"/>
      <c r="E5" s="443"/>
      <c r="F5" s="443"/>
      <c r="G5" s="443"/>
      <c r="H5" s="444"/>
    </row>
    <row r="6" spans="2:11" ht="15.75" x14ac:dyDescent="0.25">
      <c r="K6" s="74" t="s">
        <v>342</v>
      </c>
    </row>
    <row r="7" spans="2:11" ht="15.75" x14ac:dyDescent="0.25">
      <c r="B7" s="21" t="s">
        <v>912</v>
      </c>
      <c r="C7" s="22" t="s">
        <v>338</v>
      </c>
      <c r="D7" s="23"/>
      <c r="E7" s="23"/>
      <c r="F7" s="23"/>
      <c r="G7" s="23"/>
      <c r="H7" s="232" t="str">
        <f>PD!J7</f>
        <v>PIC</v>
      </c>
      <c r="K7" s="74" t="s">
        <v>342</v>
      </c>
    </row>
    <row r="8" spans="2:11" ht="16.5" thickBot="1" x14ac:dyDescent="0.3">
      <c r="K8" s="74" t="s">
        <v>409</v>
      </c>
    </row>
    <row r="9" spans="2:11" ht="60" customHeight="1" thickTop="1" thickBot="1" x14ac:dyDescent="0.3">
      <c r="B9" s="68" t="s">
        <v>339</v>
      </c>
      <c r="C9" s="424"/>
      <c r="D9" s="425"/>
      <c r="E9" s="425"/>
      <c r="F9" s="425"/>
      <c r="G9" s="425"/>
      <c r="H9" s="426"/>
      <c r="K9" s="206">
        <f>LEN(C9)</f>
        <v>0</v>
      </c>
    </row>
    <row r="10" spans="2:11" ht="11.25" customHeight="1" thickTop="1" x14ac:dyDescent="0.25">
      <c r="K10" s="206"/>
    </row>
    <row r="11" spans="2:11" ht="21" x14ac:dyDescent="0.25">
      <c r="B11" s="21" t="s">
        <v>913</v>
      </c>
      <c r="C11" s="22" t="s">
        <v>340</v>
      </c>
      <c r="D11" s="23"/>
      <c r="E11" s="23"/>
      <c r="F11" s="23"/>
      <c r="G11" s="23"/>
      <c r="H11" s="23"/>
      <c r="K11" s="206">
        <f>SUM(K14:K43)</f>
        <v>0</v>
      </c>
    </row>
    <row r="12" spans="2:11" ht="9.75" customHeight="1" thickBot="1" x14ac:dyDescent="0.3">
      <c r="K12" s="206"/>
    </row>
    <row r="13" spans="2:11" ht="21.75" thickBot="1" x14ac:dyDescent="0.3">
      <c r="B13" s="69" t="s">
        <v>0</v>
      </c>
      <c r="C13" s="427" t="s">
        <v>341</v>
      </c>
      <c r="D13" s="428"/>
      <c r="E13" s="428"/>
      <c r="F13" s="428"/>
      <c r="G13" s="428"/>
      <c r="H13" s="429"/>
      <c r="K13" s="206"/>
    </row>
    <row r="14" spans="2:11" ht="28.5" customHeight="1" thickTop="1" x14ac:dyDescent="0.25">
      <c r="B14" s="70">
        <v>1</v>
      </c>
      <c r="C14" s="430"/>
      <c r="D14" s="431"/>
      <c r="E14" s="431"/>
      <c r="F14" s="431"/>
      <c r="G14" s="431"/>
      <c r="H14" s="432"/>
      <c r="K14" s="206">
        <f t="shared" ref="K14:K28" si="0">LEN(C14)</f>
        <v>0</v>
      </c>
    </row>
    <row r="15" spans="2:11" ht="30" customHeight="1" x14ac:dyDescent="0.25">
      <c r="B15" s="71">
        <v>2</v>
      </c>
      <c r="C15" s="433"/>
      <c r="D15" s="434"/>
      <c r="E15" s="434"/>
      <c r="F15" s="434"/>
      <c r="G15" s="434"/>
      <c r="H15" s="435"/>
      <c r="K15" s="206">
        <f t="shared" si="0"/>
        <v>0</v>
      </c>
    </row>
    <row r="16" spans="2:11" ht="30" customHeight="1" x14ac:dyDescent="0.25">
      <c r="B16" s="72">
        <v>3</v>
      </c>
      <c r="C16" s="415"/>
      <c r="D16" s="416"/>
      <c r="E16" s="416"/>
      <c r="F16" s="416"/>
      <c r="G16" s="416"/>
      <c r="H16" s="417"/>
      <c r="K16" s="206">
        <f t="shared" si="0"/>
        <v>0</v>
      </c>
    </row>
    <row r="17" spans="2:11" ht="30" customHeight="1" x14ac:dyDescent="0.25">
      <c r="B17" s="71">
        <v>4</v>
      </c>
      <c r="C17" s="421"/>
      <c r="D17" s="422"/>
      <c r="E17" s="422"/>
      <c r="F17" s="422"/>
      <c r="G17" s="422"/>
      <c r="H17" s="423"/>
      <c r="K17" s="206">
        <f t="shared" si="0"/>
        <v>0</v>
      </c>
    </row>
    <row r="18" spans="2:11" ht="30" customHeight="1" x14ac:dyDescent="0.25">
      <c r="B18" s="72">
        <v>5</v>
      </c>
      <c r="C18" s="415"/>
      <c r="D18" s="416"/>
      <c r="E18" s="416"/>
      <c r="F18" s="416"/>
      <c r="G18" s="416"/>
      <c r="H18" s="417"/>
      <c r="K18" s="206">
        <f t="shared" si="0"/>
        <v>0</v>
      </c>
    </row>
    <row r="19" spans="2:11" ht="30" customHeight="1" x14ac:dyDescent="0.25">
      <c r="B19" s="71">
        <v>6</v>
      </c>
      <c r="C19" s="421"/>
      <c r="D19" s="422"/>
      <c r="E19" s="422"/>
      <c r="F19" s="422"/>
      <c r="G19" s="422"/>
      <c r="H19" s="423"/>
      <c r="K19" s="206">
        <f t="shared" si="0"/>
        <v>0</v>
      </c>
    </row>
    <row r="20" spans="2:11" ht="30" customHeight="1" x14ac:dyDescent="0.25">
      <c r="B20" s="72">
        <v>7</v>
      </c>
      <c r="C20" s="415"/>
      <c r="D20" s="416"/>
      <c r="E20" s="416"/>
      <c r="F20" s="416"/>
      <c r="G20" s="416"/>
      <c r="H20" s="417"/>
      <c r="K20" s="206">
        <f t="shared" si="0"/>
        <v>0</v>
      </c>
    </row>
    <row r="21" spans="2:11" ht="30" customHeight="1" x14ac:dyDescent="0.25">
      <c r="B21" s="71">
        <v>8</v>
      </c>
      <c r="C21" s="421"/>
      <c r="D21" s="422"/>
      <c r="E21" s="422"/>
      <c r="F21" s="422"/>
      <c r="G21" s="422"/>
      <c r="H21" s="423"/>
      <c r="K21" s="206">
        <f t="shared" si="0"/>
        <v>0</v>
      </c>
    </row>
    <row r="22" spans="2:11" ht="30" customHeight="1" x14ac:dyDescent="0.25">
      <c r="B22" s="72">
        <v>9</v>
      </c>
      <c r="C22" s="415"/>
      <c r="D22" s="416"/>
      <c r="E22" s="416"/>
      <c r="F22" s="416"/>
      <c r="G22" s="416"/>
      <c r="H22" s="417"/>
      <c r="K22" s="206">
        <f t="shared" si="0"/>
        <v>0</v>
      </c>
    </row>
    <row r="23" spans="2:11" ht="30" customHeight="1" x14ac:dyDescent="0.25">
      <c r="B23" s="71">
        <v>10</v>
      </c>
      <c r="C23" s="421"/>
      <c r="D23" s="422"/>
      <c r="E23" s="422"/>
      <c r="F23" s="422"/>
      <c r="G23" s="422"/>
      <c r="H23" s="423"/>
      <c r="K23" s="206">
        <f t="shared" si="0"/>
        <v>0</v>
      </c>
    </row>
    <row r="24" spans="2:11" ht="30" customHeight="1" x14ac:dyDescent="0.25">
      <c r="B24" s="72">
        <v>11</v>
      </c>
      <c r="C24" s="415"/>
      <c r="D24" s="416"/>
      <c r="E24" s="416"/>
      <c r="F24" s="416"/>
      <c r="G24" s="416"/>
      <c r="H24" s="417"/>
      <c r="K24" s="206">
        <f t="shared" si="0"/>
        <v>0</v>
      </c>
    </row>
    <row r="25" spans="2:11" ht="30" customHeight="1" x14ac:dyDescent="0.25">
      <c r="B25" s="71">
        <v>12</v>
      </c>
      <c r="C25" s="421"/>
      <c r="D25" s="422"/>
      <c r="E25" s="422"/>
      <c r="F25" s="422"/>
      <c r="G25" s="422"/>
      <c r="H25" s="423"/>
      <c r="K25" s="206">
        <f t="shared" si="0"/>
        <v>0</v>
      </c>
    </row>
    <row r="26" spans="2:11" ht="36" customHeight="1" x14ac:dyDescent="0.25">
      <c r="B26" s="72">
        <v>13</v>
      </c>
      <c r="C26" s="415"/>
      <c r="D26" s="416"/>
      <c r="E26" s="416"/>
      <c r="F26" s="416"/>
      <c r="G26" s="416"/>
      <c r="H26" s="417"/>
      <c r="K26" s="206">
        <f t="shared" si="0"/>
        <v>0</v>
      </c>
    </row>
    <row r="27" spans="2:11" ht="36" customHeight="1" x14ac:dyDescent="0.25">
      <c r="B27" s="71">
        <v>14</v>
      </c>
      <c r="C27" s="421"/>
      <c r="D27" s="422"/>
      <c r="E27" s="422"/>
      <c r="F27" s="422"/>
      <c r="G27" s="422"/>
      <c r="H27" s="423"/>
      <c r="K27" s="206">
        <f t="shared" si="0"/>
        <v>0</v>
      </c>
    </row>
    <row r="28" spans="2:11" ht="36" customHeight="1" thickBot="1" x14ac:dyDescent="0.3">
      <c r="B28" s="73">
        <v>15</v>
      </c>
      <c r="C28" s="418"/>
      <c r="D28" s="419"/>
      <c r="E28" s="419"/>
      <c r="F28" s="419"/>
      <c r="G28" s="419"/>
      <c r="H28" s="420"/>
      <c r="K28" s="206">
        <f t="shared" si="0"/>
        <v>0</v>
      </c>
    </row>
    <row r="29" spans="2:11" ht="21" x14ac:dyDescent="0.25">
      <c r="K29" s="206"/>
    </row>
    <row r="30" spans="2:11" ht="21" x14ac:dyDescent="0.25">
      <c r="B30" s="21"/>
      <c r="C30" s="21"/>
      <c r="D30" s="21"/>
      <c r="E30" s="21"/>
      <c r="F30" s="21"/>
      <c r="G30" s="21"/>
      <c r="H30" s="21"/>
      <c r="K30" s="206"/>
    </row>
    <row r="31" spans="2:11" ht="21" x14ac:dyDescent="0.25">
      <c r="B31" s="21"/>
      <c r="C31" s="21"/>
      <c r="D31" s="21"/>
      <c r="E31" s="21"/>
      <c r="F31" s="21"/>
      <c r="G31" s="21"/>
      <c r="H31" s="21"/>
      <c r="K31" s="206"/>
    </row>
    <row r="32" spans="2:11" x14ac:dyDescent="0.25">
      <c r="B32" s="21"/>
      <c r="C32" s="21"/>
      <c r="D32" s="21"/>
      <c r="E32" s="21"/>
      <c r="F32" s="21"/>
      <c r="G32" s="21"/>
      <c r="H32" s="21"/>
    </row>
    <row r="33" spans="2:8" x14ac:dyDescent="0.25">
      <c r="B33" s="21"/>
      <c r="C33" s="21"/>
      <c r="D33" s="21"/>
      <c r="E33" s="21"/>
      <c r="F33" s="21"/>
      <c r="G33" s="21"/>
      <c r="H33" s="21"/>
    </row>
    <row r="34" spans="2:8" x14ac:dyDescent="0.25">
      <c r="B34" s="21"/>
      <c r="C34" s="21"/>
      <c r="D34" s="21"/>
      <c r="E34" s="21"/>
      <c r="F34" s="21"/>
      <c r="G34" s="21"/>
      <c r="H34" s="21"/>
    </row>
    <row r="35" spans="2:8" x14ac:dyDescent="0.25">
      <c r="B35" s="21"/>
      <c r="C35" s="21"/>
      <c r="D35" s="21"/>
      <c r="E35" s="21"/>
      <c r="F35" s="21"/>
      <c r="G35" s="21"/>
      <c r="H35" s="21"/>
    </row>
    <row r="36" spans="2:8" x14ac:dyDescent="0.25">
      <c r="B36" s="21"/>
      <c r="C36" s="21"/>
      <c r="D36" s="21"/>
      <c r="E36" s="21"/>
      <c r="F36" s="21"/>
      <c r="G36" s="21"/>
      <c r="H36" s="21"/>
    </row>
    <row r="37" spans="2:8" x14ac:dyDescent="0.25">
      <c r="B37" s="21"/>
      <c r="C37" s="21"/>
      <c r="D37" s="21"/>
      <c r="E37" s="21"/>
      <c r="F37" s="21"/>
      <c r="G37" s="21"/>
      <c r="H37" s="21"/>
    </row>
    <row r="38" spans="2:8" x14ac:dyDescent="0.25">
      <c r="B38" s="21"/>
      <c r="C38" s="21"/>
      <c r="D38" s="21"/>
      <c r="E38" s="21"/>
      <c r="F38" s="21"/>
      <c r="G38" s="21"/>
      <c r="H38" s="21"/>
    </row>
    <row r="39" spans="2:8" x14ac:dyDescent="0.25">
      <c r="B39" s="21"/>
      <c r="C39" s="21"/>
      <c r="D39" s="21"/>
      <c r="E39" s="21"/>
      <c r="F39" s="21"/>
      <c r="G39" s="21"/>
      <c r="H39" s="21"/>
    </row>
    <row r="40" spans="2:8" x14ac:dyDescent="0.25">
      <c r="B40" s="21"/>
      <c r="C40" s="21"/>
      <c r="D40" s="21"/>
      <c r="E40" s="21"/>
      <c r="F40" s="21"/>
      <c r="G40" s="21"/>
      <c r="H40" s="21"/>
    </row>
    <row r="41" spans="2:8" x14ac:dyDescent="0.25">
      <c r="B41" s="21"/>
      <c r="C41" s="21"/>
      <c r="D41" s="21"/>
      <c r="E41" s="21"/>
      <c r="F41" s="21"/>
      <c r="G41" s="21"/>
      <c r="H41" s="21"/>
    </row>
    <row r="42" spans="2:8" x14ac:dyDescent="0.25">
      <c r="B42" s="21"/>
      <c r="C42" s="21"/>
      <c r="D42" s="21"/>
      <c r="E42" s="21"/>
      <c r="F42" s="21"/>
      <c r="G42" s="21"/>
      <c r="H42" s="21"/>
    </row>
    <row r="43" spans="2:8" x14ac:dyDescent="0.25">
      <c r="B43" s="21"/>
      <c r="C43" s="21"/>
      <c r="D43" s="21"/>
      <c r="E43" s="21"/>
      <c r="F43" s="21"/>
      <c r="G43" s="21"/>
      <c r="H43" s="21"/>
    </row>
    <row r="44" spans="2:8" x14ac:dyDescent="0.25">
      <c r="B44" s="21"/>
      <c r="C44" s="21"/>
      <c r="D44" s="21"/>
      <c r="E44" s="21"/>
      <c r="F44" s="21"/>
      <c r="G44" s="21"/>
      <c r="H44" s="21"/>
    </row>
    <row r="45" spans="2:8" x14ac:dyDescent="0.25">
      <c r="B45" s="21"/>
      <c r="C45" s="21"/>
      <c r="D45" s="21"/>
      <c r="E45" s="21"/>
      <c r="F45" s="21"/>
      <c r="G45" s="21"/>
      <c r="H45" s="21"/>
    </row>
    <row r="46" spans="2:8" x14ac:dyDescent="0.25">
      <c r="B46" s="21"/>
      <c r="C46" s="21"/>
      <c r="D46" s="21"/>
      <c r="E46" s="21"/>
      <c r="F46" s="21"/>
      <c r="G46" s="21"/>
      <c r="H46" s="21"/>
    </row>
    <row r="47" spans="2:8" x14ac:dyDescent="0.25">
      <c r="B47" s="21"/>
      <c r="C47" s="21"/>
      <c r="D47" s="21"/>
      <c r="E47" s="21"/>
      <c r="F47" s="21"/>
      <c r="G47" s="21"/>
      <c r="H47" s="21"/>
    </row>
    <row r="48" spans="2:8" x14ac:dyDescent="0.25"/>
    <row r="49" x14ac:dyDescent="0.25"/>
    <row r="50" x14ac:dyDescent="0.25"/>
    <row r="51" x14ac:dyDescent="0.25"/>
    <row r="52" x14ac:dyDescent="0.25"/>
    <row r="53" x14ac:dyDescent="0.25"/>
  </sheetData>
  <sheetProtection algorithmName="SHA-512" hashValue="CvbMduIwWQSb0PQdbCGQb+p19YuCsoEVNypgiqGgrZnIJ7XrB79QSka7WbU3TGWwdjqEzfs3c50RakBQn+ukJg==" saltValue="K5SGJmzB/KgS+bXwNjfd/Q==" spinCount="100000" sheet="1" objects="1" scenarios="1"/>
  <mergeCells count="18">
    <mergeCell ref="C9:H9"/>
    <mergeCell ref="C13:H13"/>
    <mergeCell ref="C14:H14"/>
    <mergeCell ref="C15:H15"/>
    <mergeCell ref="B3:H5"/>
    <mergeCell ref="C16:H16"/>
    <mergeCell ref="C28:H28"/>
    <mergeCell ref="C17:H17"/>
    <mergeCell ref="C18:H18"/>
    <mergeCell ref="C19:H19"/>
    <mergeCell ref="C20:H20"/>
    <mergeCell ref="C21:H21"/>
    <mergeCell ref="C22:H22"/>
    <mergeCell ref="C23:H23"/>
    <mergeCell ref="C24:H24"/>
    <mergeCell ref="C25:H25"/>
    <mergeCell ref="C26:H26"/>
    <mergeCell ref="C27:H27"/>
  </mergeCells>
  <printOptions horizontalCentered="1"/>
  <pageMargins left="0.70866141732283472" right="0.70866141732283472" top="0.74803149606299213" bottom="0.74803149606299213" header="0.31496062992125984" footer="0.31496062992125984"/>
  <pageSetup scale="64"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B1:K24"/>
  <sheetViews>
    <sheetView showGridLines="0" view="pageBreakPreview" topLeftCell="A4" zoomScale="90" zoomScaleNormal="85" zoomScaleSheetLayoutView="90" workbookViewId="0">
      <selection activeCell="C10" sqref="C10:H10"/>
    </sheetView>
  </sheetViews>
  <sheetFormatPr baseColWidth="10" defaultRowHeight="15" x14ac:dyDescent="0.25"/>
  <cols>
    <col min="1" max="1" width="4.42578125" customWidth="1"/>
    <col min="2" max="2" width="3.42578125"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5.28515625" customWidth="1"/>
  </cols>
  <sheetData>
    <row r="1" spans="2:11" ht="25.5" customHeight="1" x14ac:dyDescent="0.25"/>
    <row r="2" spans="2:11" ht="96" customHeight="1" thickBot="1" x14ac:dyDescent="0.3"/>
    <row r="3" spans="2:11" ht="7.5" hidden="1" customHeight="1" thickBot="1" x14ac:dyDescent="0.3"/>
    <row r="4" spans="2:11" ht="48" customHeight="1" x14ac:dyDescent="0.25">
      <c r="B4" s="387" t="str">
        <f>Datos_Generales!B3</f>
        <v>PRESENTACIÓN DE PROYECTOS 
DE INICIACIÓN CIENTIFÍCA 2018 - 2</v>
      </c>
      <c r="C4" s="388"/>
      <c r="D4" s="388"/>
      <c r="E4" s="388"/>
      <c r="F4" s="388"/>
      <c r="G4" s="388"/>
      <c r="H4" s="389"/>
    </row>
    <row r="5" spans="2:11" ht="15.75" thickBot="1" x14ac:dyDescent="0.3">
      <c r="B5" s="390"/>
      <c r="C5" s="391"/>
      <c r="D5" s="391"/>
      <c r="E5" s="391"/>
      <c r="F5" s="391"/>
      <c r="G5" s="391"/>
      <c r="H5" s="392"/>
      <c r="K5" s="68">
        <f>SUM(K10:K133)</f>
        <v>0</v>
      </c>
    </row>
    <row r="7" spans="2:11" ht="15.75" x14ac:dyDescent="0.25">
      <c r="B7" s="21" t="s">
        <v>482</v>
      </c>
      <c r="C7" s="22" t="s">
        <v>410</v>
      </c>
      <c r="D7" s="23"/>
      <c r="E7" s="23"/>
      <c r="F7" s="23"/>
      <c r="G7" s="23"/>
      <c r="H7" s="23"/>
      <c r="K7" s="74" t="s">
        <v>342</v>
      </c>
    </row>
    <row r="8" spans="2:11" ht="15.75" x14ac:dyDescent="0.25">
      <c r="B8" s="21" t="s">
        <v>411</v>
      </c>
      <c r="C8" s="22" t="s">
        <v>415</v>
      </c>
      <c r="D8" s="23"/>
      <c r="E8" s="23"/>
      <c r="F8" s="23"/>
      <c r="G8" s="23"/>
      <c r="H8" s="23"/>
      <c r="K8" s="96" t="s">
        <v>464</v>
      </c>
    </row>
    <row r="9" spans="2:11" ht="14.1" customHeight="1" thickBot="1" x14ac:dyDescent="0.3">
      <c r="K9" s="199" t="s">
        <v>360</v>
      </c>
    </row>
    <row r="10" spans="2:11" ht="39.950000000000003" customHeight="1" x14ac:dyDescent="0.25">
      <c r="B10" s="178">
        <v>1</v>
      </c>
      <c r="C10" s="454"/>
      <c r="D10" s="455"/>
      <c r="E10" s="455"/>
      <c r="F10" s="455"/>
      <c r="G10" s="455"/>
      <c r="H10" s="456"/>
      <c r="K10" s="68">
        <f>LEN(C10)</f>
        <v>0</v>
      </c>
    </row>
    <row r="11" spans="2:11" ht="39.950000000000003" customHeight="1" x14ac:dyDescent="0.25">
      <c r="B11" s="179">
        <f>B10+1</f>
        <v>2</v>
      </c>
      <c r="C11" s="457"/>
      <c r="D11" s="458"/>
      <c r="E11" s="458"/>
      <c r="F11" s="458"/>
      <c r="G11" s="458"/>
      <c r="H11" s="459"/>
      <c r="K11" s="68">
        <f t="shared" ref="K11:K22" si="0">LEN(C11)</f>
        <v>0</v>
      </c>
    </row>
    <row r="12" spans="2:11" ht="39.950000000000003" customHeight="1" x14ac:dyDescent="0.25">
      <c r="B12" s="180">
        <f t="shared" ref="B12:B22" si="1">B11+1</f>
        <v>3</v>
      </c>
      <c r="C12" s="451"/>
      <c r="D12" s="452"/>
      <c r="E12" s="452"/>
      <c r="F12" s="452"/>
      <c r="G12" s="452"/>
      <c r="H12" s="453"/>
      <c r="K12" s="68">
        <f t="shared" si="0"/>
        <v>0</v>
      </c>
    </row>
    <row r="13" spans="2:11" ht="39.950000000000003" customHeight="1" x14ac:dyDescent="0.25">
      <c r="B13" s="181">
        <f t="shared" si="1"/>
        <v>4</v>
      </c>
      <c r="C13" s="457"/>
      <c r="D13" s="460"/>
      <c r="E13" s="460"/>
      <c r="F13" s="460"/>
      <c r="G13" s="460"/>
      <c r="H13" s="461"/>
      <c r="K13" s="68">
        <f t="shared" si="0"/>
        <v>0</v>
      </c>
    </row>
    <row r="14" spans="2:11" ht="39.950000000000003" customHeight="1" x14ac:dyDescent="0.25">
      <c r="B14" s="180">
        <f t="shared" si="1"/>
        <v>5</v>
      </c>
      <c r="C14" s="451"/>
      <c r="D14" s="452"/>
      <c r="E14" s="452"/>
      <c r="F14" s="452"/>
      <c r="G14" s="452"/>
      <c r="H14" s="453"/>
      <c r="K14" s="68">
        <f t="shared" si="0"/>
        <v>0</v>
      </c>
    </row>
    <row r="15" spans="2:11" ht="39.950000000000003" customHeight="1" x14ac:dyDescent="0.25">
      <c r="B15" s="180">
        <f t="shared" si="1"/>
        <v>6</v>
      </c>
      <c r="C15" s="451"/>
      <c r="D15" s="452"/>
      <c r="E15" s="452"/>
      <c r="F15" s="452"/>
      <c r="G15" s="452"/>
      <c r="H15" s="453"/>
      <c r="K15" s="68">
        <f t="shared" si="0"/>
        <v>0</v>
      </c>
    </row>
    <row r="16" spans="2:11" ht="39.950000000000003" customHeight="1" x14ac:dyDescent="0.25">
      <c r="B16" s="180">
        <f t="shared" si="1"/>
        <v>7</v>
      </c>
      <c r="C16" s="451"/>
      <c r="D16" s="452"/>
      <c r="E16" s="452"/>
      <c r="F16" s="452"/>
      <c r="G16" s="452"/>
      <c r="H16" s="453"/>
      <c r="K16" s="68">
        <f t="shared" si="0"/>
        <v>0</v>
      </c>
    </row>
    <row r="17" spans="2:11" ht="39.950000000000003" customHeight="1" x14ac:dyDescent="0.25">
      <c r="B17" s="180">
        <f t="shared" si="1"/>
        <v>8</v>
      </c>
      <c r="C17" s="451"/>
      <c r="D17" s="452"/>
      <c r="E17" s="452"/>
      <c r="F17" s="452"/>
      <c r="G17" s="452"/>
      <c r="H17" s="453"/>
      <c r="K17" s="68">
        <f t="shared" si="0"/>
        <v>0</v>
      </c>
    </row>
    <row r="18" spans="2:11" ht="39.950000000000003" customHeight="1" x14ac:dyDescent="0.25">
      <c r="B18" s="180">
        <f t="shared" si="1"/>
        <v>9</v>
      </c>
      <c r="C18" s="448"/>
      <c r="D18" s="449"/>
      <c r="E18" s="449"/>
      <c r="F18" s="449"/>
      <c r="G18" s="449"/>
      <c r="H18" s="450"/>
      <c r="K18" s="68">
        <f t="shared" si="0"/>
        <v>0</v>
      </c>
    </row>
    <row r="19" spans="2:11" ht="39.950000000000003" customHeight="1" x14ac:dyDescent="0.25">
      <c r="B19" s="180">
        <f t="shared" si="1"/>
        <v>10</v>
      </c>
      <c r="C19" s="451"/>
      <c r="D19" s="452"/>
      <c r="E19" s="452"/>
      <c r="F19" s="452"/>
      <c r="G19" s="452"/>
      <c r="H19" s="453"/>
      <c r="K19" s="68">
        <f t="shared" si="0"/>
        <v>0</v>
      </c>
    </row>
    <row r="20" spans="2:11" ht="39.950000000000003" customHeight="1" x14ac:dyDescent="0.25">
      <c r="B20" s="180">
        <f t="shared" si="1"/>
        <v>11</v>
      </c>
      <c r="C20" s="451"/>
      <c r="D20" s="452"/>
      <c r="E20" s="452"/>
      <c r="F20" s="452"/>
      <c r="G20" s="452"/>
      <c r="H20" s="453"/>
      <c r="K20" s="68">
        <f t="shared" si="0"/>
        <v>0</v>
      </c>
    </row>
    <row r="21" spans="2:11" ht="39.950000000000003" customHeight="1" x14ac:dyDescent="0.25">
      <c r="B21" s="180">
        <f t="shared" si="1"/>
        <v>12</v>
      </c>
      <c r="C21" s="451"/>
      <c r="D21" s="452"/>
      <c r="E21" s="452"/>
      <c r="F21" s="452"/>
      <c r="G21" s="452"/>
      <c r="H21" s="453"/>
      <c r="K21" s="68">
        <f t="shared" si="0"/>
        <v>0</v>
      </c>
    </row>
    <row r="22" spans="2:11" ht="39.950000000000003" customHeight="1" thickBot="1" x14ac:dyDescent="0.3">
      <c r="B22" s="215">
        <f t="shared" si="1"/>
        <v>13</v>
      </c>
      <c r="C22" s="445"/>
      <c r="D22" s="446"/>
      <c r="E22" s="446"/>
      <c r="F22" s="446"/>
      <c r="G22" s="446"/>
      <c r="H22" s="447"/>
      <c r="K22" s="68">
        <f t="shared" si="0"/>
        <v>0</v>
      </c>
    </row>
    <row r="23" spans="2:11" x14ac:dyDescent="0.25">
      <c r="K23" s="68"/>
    </row>
    <row r="24" spans="2:11" x14ac:dyDescent="0.25">
      <c r="K24" s="68"/>
    </row>
  </sheetData>
  <sheetProtection selectLockedCells="1"/>
  <mergeCells count="14">
    <mergeCell ref="C22:H22"/>
    <mergeCell ref="B4:H5"/>
    <mergeCell ref="C18:H18"/>
    <mergeCell ref="C19:H19"/>
    <mergeCell ref="C20:H20"/>
    <mergeCell ref="C21:H21"/>
    <mergeCell ref="C15:H15"/>
    <mergeCell ref="C16:H16"/>
    <mergeCell ref="C17:H17"/>
    <mergeCell ref="C14:H14"/>
    <mergeCell ref="C10:H10"/>
    <mergeCell ref="C11:H11"/>
    <mergeCell ref="C12:H12"/>
    <mergeCell ref="C13:H13"/>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B1:M25"/>
  <sheetViews>
    <sheetView showGridLines="0" view="pageBreakPreview" zoomScale="90" zoomScaleNormal="85" zoomScaleSheetLayoutView="90" workbookViewId="0">
      <selection activeCell="B13" sqref="B13:H13"/>
    </sheetView>
  </sheetViews>
  <sheetFormatPr baseColWidth="10" defaultRowHeight="15" x14ac:dyDescent="0.25"/>
  <cols>
    <col min="1" max="1" width="4.42578125" customWidth="1"/>
    <col min="2" max="2" width="3.42578125"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4.7109375" customWidth="1"/>
  </cols>
  <sheetData>
    <row r="1" spans="2:13" ht="25.5" customHeight="1" x14ac:dyDescent="0.25"/>
    <row r="2" spans="2:13" ht="102" customHeight="1" thickBot="1" x14ac:dyDescent="0.3"/>
    <row r="3" spans="2:13" ht="7.5" hidden="1" customHeight="1" thickBot="1" x14ac:dyDescent="0.3"/>
    <row r="4" spans="2:13" ht="48" customHeight="1" x14ac:dyDescent="0.25">
      <c r="B4" s="387" t="str">
        <f>Datos_Generales!B3</f>
        <v>PRESENTACIÓN DE PROYECTOS 
DE INICIACIÓN CIENTIFÍCA 2018 - 2</v>
      </c>
      <c r="C4" s="388"/>
      <c r="D4" s="388"/>
      <c r="E4" s="388"/>
      <c r="F4" s="388"/>
      <c r="G4" s="388"/>
      <c r="H4" s="389"/>
    </row>
    <row r="5" spans="2:13" ht="15.75" thickBot="1" x14ac:dyDescent="0.3">
      <c r="B5" s="390"/>
      <c r="C5" s="391"/>
      <c r="D5" s="391"/>
      <c r="E5" s="391"/>
      <c r="F5" s="391"/>
      <c r="G5" s="391"/>
      <c r="H5" s="392"/>
      <c r="K5" s="68">
        <f>SUM(K10:K313)</f>
        <v>0</v>
      </c>
    </row>
    <row r="7" spans="2:13" ht="15.75" x14ac:dyDescent="0.25">
      <c r="B7" s="21" t="s">
        <v>483</v>
      </c>
      <c r="C7" s="22" t="s">
        <v>410</v>
      </c>
      <c r="D7" s="23"/>
      <c r="E7" s="23"/>
      <c r="F7" s="23"/>
      <c r="G7" s="23"/>
      <c r="H7" s="23"/>
      <c r="K7" s="74" t="s">
        <v>342</v>
      </c>
    </row>
    <row r="8" spans="2:13" ht="15.75" x14ac:dyDescent="0.25">
      <c r="B8" s="21" t="s">
        <v>412</v>
      </c>
      <c r="C8" s="22" t="s">
        <v>414</v>
      </c>
      <c r="D8" s="23"/>
      <c r="E8" s="23"/>
      <c r="F8" s="23"/>
      <c r="G8" s="23"/>
      <c r="H8" s="23"/>
      <c r="K8" s="96" t="s">
        <v>464</v>
      </c>
    </row>
    <row r="9" spans="2:13" ht="15.75" thickBot="1" x14ac:dyDescent="0.3">
      <c r="K9" s="199" t="s">
        <v>360</v>
      </c>
    </row>
    <row r="10" spans="2:13" ht="39.950000000000003" customHeight="1" x14ac:dyDescent="0.25">
      <c r="B10" s="462"/>
      <c r="C10" s="463"/>
      <c r="D10" s="463"/>
      <c r="E10" s="463"/>
      <c r="F10" s="463"/>
      <c r="G10" s="463"/>
      <c r="H10" s="464"/>
      <c r="K10" s="68">
        <f>LEN(B10)</f>
        <v>0</v>
      </c>
    </row>
    <row r="11" spans="2:13" ht="39.950000000000003" customHeight="1" x14ac:dyDescent="0.25">
      <c r="B11" s="406"/>
      <c r="C11" s="413"/>
      <c r="D11" s="413"/>
      <c r="E11" s="413"/>
      <c r="F11" s="413"/>
      <c r="G11" s="413"/>
      <c r="H11" s="414"/>
      <c r="K11" s="68">
        <f t="shared" ref="K11:K25" si="0">LEN(B11)</f>
        <v>0</v>
      </c>
    </row>
    <row r="12" spans="2:13" ht="39.950000000000003" customHeight="1" x14ac:dyDescent="0.25">
      <c r="B12" s="465"/>
      <c r="C12" s="466"/>
      <c r="D12" s="466"/>
      <c r="E12" s="466"/>
      <c r="F12" s="466"/>
      <c r="G12" s="466"/>
      <c r="H12" s="467"/>
      <c r="K12" s="68">
        <f t="shared" si="0"/>
        <v>0</v>
      </c>
    </row>
    <row r="13" spans="2:13" ht="39.950000000000003" customHeight="1" x14ac:dyDescent="0.25">
      <c r="B13" s="406"/>
      <c r="C13" s="413"/>
      <c r="D13" s="413"/>
      <c r="E13" s="413"/>
      <c r="F13" s="413"/>
      <c r="G13" s="413"/>
      <c r="H13" s="414"/>
      <c r="K13" s="68">
        <f t="shared" si="0"/>
        <v>0</v>
      </c>
    </row>
    <row r="14" spans="2:13" ht="39.950000000000003" customHeight="1" x14ac:dyDescent="0.25">
      <c r="B14" s="403"/>
      <c r="C14" s="404"/>
      <c r="D14" s="404"/>
      <c r="E14" s="404"/>
      <c r="F14" s="404"/>
      <c r="G14" s="404"/>
      <c r="H14" s="405"/>
      <c r="K14" s="68">
        <f t="shared" si="0"/>
        <v>0</v>
      </c>
    </row>
    <row r="15" spans="2:13" ht="39.950000000000003" customHeight="1" x14ac:dyDescent="0.25">
      <c r="B15" s="412"/>
      <c r="C15" s="413"/>
      <c r="D15" s="413"/>
      <c r="E15" s="413"/>
      <c r="F15" s="413"/>
      <c r="G15" s="413"/>
      <c r="H15" s="414"/>
      <c r="K15" s="68">
        <f t="shared" si="0"/>
        <v>0</v>
      </c>
      <c r="M15" s="141"/>
    </row>
    <row r="16" spans="2:13" ht="39.950000000000003" customHeight="1" x14ac:dyDescent="0.25">
      <c r="B16" s="403"/>
      <c r="C16" s="404"/>
      <c r="D16" s="404"/>
      <c r="E16" s="404"/>
      <c r="F16" s="404"/>
      <c r="G16" s="404"/>
      <c r="H16" s="405"/>
      <c r="K16" s="68">
        <f t="shared" si="0"/>
        <v>0</v>
      </c>
    </row>
    <row r="17" spans="2:11" ht="39.950000000000003" customHeight="1" x14ac:dyDescent="0.25">
      <c r="B17" s="412"/>
      <c r="C17" s="413"/>
      <c r="D17" s="413"/>
      <c r="E17" s="413"/>
      <c r="F17" s="413"/>
      <c r="G17" s="413"/>
      <c r="H17" s="414"/>
      <c r="K17" s="68">
        <f t="shared" si="0"/>
        <v>0</v>
      </c>
    </row>
    <row r="18" spans="2:11" ht="39.950000000000003" customHeight="1" x14ac:dyDescent="0.25">
      <c r="B18" s="403"/>
      <c r="C18" s="404"/>
      <c r="D18" s="404"/>
      <c r="E18" s="404"/>
      <c r="F18" s="404"/>
      <c r="G18" s="404"/>
      <c r="H18" s="405"/>
      <c r="K18" s="68">
        <f t="shared" si="0"/>
        <v>0</v>
      </c>
    </row>
    <row r="19" spans="2:11" ht="39.950000000000003" customHeight="1" x14ac:dyDescent="0.25">
      <c r="B19" s="412"/>
      <c r="C19" s="413"/>
      <c r="D19" s="413"/>
      <c r="E19" s="413"/>
      <c r="F19" s="413"/>
      <c r="G19" s="413"/>
      <c r="H19" s="414"/>
      <c r="K19" s="68">
        <f t="shared" si="0"/>
        <v>0</v>
      </c>
    </row>
    <row r="20" spans="2:11" ht="39.950000000000003" customHeight="1" x14ac:dyDescent="0.25">
      <c r="B20" s="403"/>
      <c r="C20" s="404"/>
      <c r="D20" s="404"/>
      <c r="E20" s="404"/>
      <c r="F20" s="404"/>
      <c r="G20" s="404"/>
      <c r="H20" s="405"/>
      <c r="K20" s="68">
        <f t="shared" si="0"/>
        <v>0</v>
      </c>
    </row>
    <row r="21" spans="2:11" ht="39.950000000000003" customHeight="1" x14ac:dyDescent="0.25">
      <c r="B21" s="412"/>
      <c r="C21" s="413"/>
      <c r="D21" s="413"/>
      <c r="E21" s="413"/>
      <c r="F21" s="413"/>
      <c r="G21" s="413"/>
      <c r="H21" s="414"/>
      <c r="K21" s="68">
        <f t="shared" si="0"/>
        <v>0</v>
      </c>
    </row>
    <row r="22" spans="2:11" ht="39.950000000000003" customHeight="1" x14ac:dyDescent="0.25">
      <c r="B22" s="403"/>
      <c r="C22" s="404"/>
      <c r="D22" s="404"/>
      <c r="E22" s="404"/>
      <c r="F22" s="404"/>
      <c r="G22" s="404"/>
      <c r="H22" s="405"/>
      <c r="K22" s="68">
        <f t="shared" si="0"/>
        <v>0</v>
      </c>
    </row>
    <row r="23" spans="2:11" ht="39.950000000000003" customHeight="1" x14ac:dyDescent="0.25">
      <c r="B23" s="412"/>
      <c r="C23" s="413"/>
      <c r="D23" s="413"/>
      <c r="E23" s="413"/>
      <c r="F23" s="413"/>
      <c r="G23" s="413"/>
      <c r="H23" s="414"/>
      <c r="K23" s="68">
        <f t="shared" si="0"/>
        <v>0</v>
      </c>
    </row>
    <row r="24" spans="2:11" ht="39.950000000000003" customHeight="1" x14ac:dyDescent="0.25">
      <c r="B24" s="403"/>
      <c r="C24" s="404"/>
      <c r="D24" s="404"/>
      <c r="E24" s="404"/>
      <c r="F24" s="404"/>
      <c r="G24" s="404"/>
      <c r="H24" s="405"/>
      <c r="K24" s="68">
        <f t="shared" si="0"/>
        <v>0</v>
      </c>
    </row>
    <row r="25" spans="2:11" ht="39.75" customHeight="1" thickBot="1" x14ac:dyDescent="0.3">
      <c r="B25" s="468"/>
      <c r="C25" s="469"/>
      <c r="D25" s="469"/>
      <c r="E25" s="469"/>
      <c r="F25" s="469"/>
      <c r="G25" s="469"/>
      <c r="H25" s="470"/>
      <c r="K25" s="68">
        <f t="shared" si="0"/>
        <v>0</v>
      </c>
    </row>
  </sheetData>
  <sheetProtection selectLockedCells="1"/>
  <mergeCells count="17">
    <mergeCell ref="B16:H16"/>
    <mergeCell ref="B17:H17"/>
    <mergeCell ref="B18:H18"/>
    <mergeCell ref="B19:H19"/>
    <mergeCell ref="B25:H25"/>
    <mergeCell ref="B20:H20"/>
    <mergeCell ref="B21:H21"/>
    <mergeCell ref="B22:H22"/>
    <mergeCell ref="B23:H23"/>
    <mergeCell ref="B24:H24"/>
    <mergeCell ref="B4:H5"/>
    <mergeCell ref="B15:H15"/>
    <mergeCell ref="B14:H14"/>
    <mergeCell ref="B10:H10"/>
    <mergeCell ref="B11:H11"/>
    <mergeCell ref="B12:H12"/>
    <mergeCell ref="B13:H13"/>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B1:M25"/>
  <sheetViews>
    <sheetView showGridLines="0" view="pageBreakPreview" topLeftCell="A16" zoomScale="90" zoomScaleNormal="85" zoomScaleSheetLayoutView="90" workbookViewId="0">
      <selection activeCell="B15" sqref="B15:H15"/>
    </sheetView>
  </sheetViews>
  <sheetFormatPr baseColWidth="10" defaultRowHeight="15" x14ac:dyDescent="0.25"/>
  <cols>
    <col min="1" max="1" width="4.42578125" customWidth="1"/>
    <col min="2" max="2" width="3.42578125" customWidth="1"/>
    <col min="3" max="8" width="18.5703125" customWidth="1"/>
    <col min="9" max="9" width="7.42578125" customWidth="1"/>
  </cols>
  <sheetData>
    <row r="1" spans="2:13" ht="25.5" customHeight="1" x14ac:dyDescent="0.25"/>
    <row r="2" spans="2:13" ht="102" customHeight="1" thickBot="1" x14ac:dyDescent="0.3"/>
    <row r="3" spans="2:13" ht="7.5" hidden="1" customHeight="1" thickBot="1" x14ac:dyDescent="0.3"/>
    <row r="4" spans="2:13" ht="40.5" customHeight="1" thickBot="1" x14ac:dyDescent="0.3">
      <c r="B4" s="387" t="str">
        <f>Datos_Generales!B3</f>
        <v>PRESENTACIÓN DE PROYECTOS 
DE INICIACIÓN CIENTIFÍCA 2018 - 2</v>
      </c>
      <c r="C4" s="388"/>
      <c r="D4" s="388"/>
      <c r="E4" s="388"/>
      <c r="F4" s="388"/>
      <c r="G4" s="221" t="s">
        <v>465</v>
      </c>
      <c r="H4" s="222" t="s">
        <v>467</v>
      </c>
    </row>
    <row r="5" spans="2:13" ht="40.5" customHeight="1" thickBot="1" x14ac:dyDescent="0.3">
      <c r="B5" s="390"/>
      <c r="C5" s="391"/>
      <c r="D5" s="391"/>
      <c r="E5" s="391"/>
      <c r="F5" s="391"/>
      <c r="G5" s="221" t="s">
        <v>466</v>
      </c>
      <c r="H5" s="223" t="s">
        <v>626</v>
      </c>
      <c r="K5" s="68">
        <f>SUM(K10:K313)</f>
        <v>0</v>
      </c>
    </row>
    <row r="7" spans="2:13" ht="15.75" x14ac:dyDescent="0.25">
      <c r="B7" s="21" t="s">
        <v>482</v>
      </c>
      <c r="C7" s="22" t="s">
        <v>410</v>
      </c>
      <c r="D7" s="23"/>
      <c r="E7" s="23"/>
      <c r="F7" s="23"/>
      <c r="G7" s="23"/>
      <c r="H7" s="23"/>
      <c r="K7" s="74" t="s">
        <v>342</v>
      </c>
    </row>
    <row r="8" spans="2:13" ht="15.75" x14ac:dyDescent="0.25">
      <c r="B8" s="21" t="s">
        <v>413</v>
      </c>
      <c r="C8" s="22" t="s">
        <v>626</v>
      </c>
      <c r="D8" s="23"/>
      <c r="E8" s="23"/>
      <c r="F8" s="23"/>
      <c r="G8" s="23"/>
      <c r="H8" s="23"/>
      <c r="K8" s="96" t="s">
        <v>464</v>
      </c>
    </row>
    <row r="9" spans="2:13" ht="15.75" thickBot="1" x14ac:dyDescent="0.3">
      <c r="K9" s="199" t="s">
        <v>360</v>
      </c>
    </row>
    <row r="10" spans="2:13" ht="39.950000000000003" customHeight="1" x14ac:dyDescent="0.25">
      <c r="B10" s="462"/>
      <c r="C10" s="463"/>
      <c r="D10" s="463"/>
      <c r="E10" s="463"/>
      <c r="F10" s="463"/>
      <c r="G10" s="463"/>
      <c r="H10" s="464"/>
      <c r="K10" s="68">
        <f>LEN(B10)</f>
        <v>0</v>
      </c>
    </row>
    <row r="11" spans="2:13" ht="39.950000000000003" customHeight="1" x14ac:dyDescent="0.25">
      <c r="B11" s="406"/>
      <c r="C11" s="413"/>
      <c r="D11" s="413"/>
      <c r="E11" s="413"/>
      <c r="F11" s="413"/>
      <c r="G11" s="413"/>
      <c r="H11" s="414"/>
      <c r="K11" s="68">
        <f t="shared" ref="K11:K25" si="0">LEN(B11)</f>
        <v>0</v>
      </c>
    </row>
    <row r="12" spans="2:13" ht="39.950000000000003" customHeight="1" x14ac:dyDescent="0.25">
      <c r="B12" s="465"/>
      <c r="C12" s="466"/>
      <c r="D12" s="466"/>
      <c r="E12" s="466"/>
      <c r="F12" s="466"/>
      <c r="G12" s="466"/>
      <c r="H12" s="467"/>
      <c r="K12" s="68">
        <f t="shared" si="0"/>
        <v>0</v>
      </c>
    </row>
    <row r="13" spans="2:13" ht="39.950000000000003" customHeight="1" x14ac:dyDescent="0.25">
      <c r="B13" s="406"/>
      <c r="C13" s="413"/>
      <c r="D13" s="413"/>
      <c r="E13" s="413"/>
      <c r="F13" s="413"/>
      <c r="G13" s="413"/>
      <c r="H13" s="414"/>
      <c r="K13" s="68">
        <f t="shared" si="0"/>
        <v>0</v>
      </c>
    </row>
    <row r="14" spans="2:13" ht="39.950000000000003" customHeight="1" x14ac:dyDescent="0.25">
      <c r="B14" s="403"/>
      <c r="C14" s="404"/>
      <c r="D14" s="404"/>
      <c r="E14" s="404"/>
      <c r="F14" s="404"/>
      <c r="G14" s="404"/>
      <c r="H14" s="405"/>
      <c r="K14" s="68">
        <f t="shared" si="0"/>
        <v>0</v>
      </c>
    </row>
    <row r="15" spans="2:13" ht="39.950000000000003" customHeight="1" x14ac:dyDescent="0.25">
      <c r="B15" s="412"/>
      <c r="C15" s="413"/>
      <c r="D15" s="413"/>
      <c r="E15" s="413"/>
      <c r="F15" s="413"/>
      <c r="G15" s="413"/>
      <c r="H15" s="414"/>
      <c r="K15" s="68">
        <f t="shared" si="0"/>
        <v>0</v>
      </c>
      <c r="M15" s="141"/>
    </row>
    <row r="16" spans="2:13" ht="39.950000000000003" customHeight="1" x14ac:dyDescent="0.25">
      <c r="B16" s="403"/>
      <c r="C16" s="404"/>
      <c r="D16" s="404"/>
      <c r="E16" s="404"/>
      <c r="F16" s="404"/>
      <c r="G16" s="404"/>
      <c r="H16" s="405"/>
      <c r="K16" s="68">
        <f t="shared" si="0"/>
        <v>0</v>
      </c>
    </row>
    <row r="17" spans="2:11" ht="39.950000000000003" customHeight="1" x14ac:dyDescent="0.25">
      <c r="B17" s="412"/>
      <c r="C17" s="413"/>
      <c r="D17" s="413"/>
      <c r="E17" s="413"/>
      <c r="F17" s="413"/>
      <c r="G17" s="413"/>
      <c r="H17" s="414"/>
      <c r="K17" s="68">
        <f t="shared" si="0"/>
        <v>0</v>
      </c>
    </row>
    <row r="18" spans="2:11" ht="39.950000000000003" customHeight="1" x14ac:dyDescent="0.25">
      <c r="B18" s="403"/>
      <c r="C18" s="404"/>
      <c r="D18" s="404"/>
      <c r="E18" s="404"/>
      <c r="F18" s="404"/>
      <c r="G18" s="404"/>
      <c r="H18" s="405"/>
      <c r="K18" s="68">
        <f t="shared" si="0"/>
        <v>0</v>
      </c>
    </row>
    <row r="19" spans="2:11" ht="39.950000000000003" customHeight="1" x14ac:dyDescent="0.25">
      <c r="B19" s="412"/>
      <c r="C19" s="413"/>
      <c r="D19" s="413"/>
      <c r="E19" s="413"/>
      <c r="F19" s="413"/>
      <c r="G19" s="413"/>
      <c r="H19" s="414"/>
      <c r="K19" s="68">
        <f t="shared" si="0"/>
        <v>0</v>
      </c>
    </row>
    <row r="20" spans="2:11" ht="39.950000000000003" customHeight="1" x14ac:dyDescent="0.25">
      <c r="B20" s="403"/>
      <c r="C20" s="404"/>
      <c r="D20" s="404"/>
      <c r="E20" s="404"/>
      <c r="F20" s="404"/>
      <c r="G20" s="404"/>
      <c r="H20" s="405"/>
      <c r="K20" s="68">
        <f t="shared" si="0"/>
        <v>0</v>
      </c>
    </row>
    <row r="21" spans="2:11" ht="39.950000000000003" customHeight="1" x14ac:dyDescent="0.25">
      <c r="B21" s="412"/>
      <c r="C21" s="413"/>
      <c r="D21" s="413"/>
      <c r="E21" s="413"/>
      <c r="F21" s="413"/>
      <c r="G21" s="413"/>
      <c r="H21" s="414"/>
      <c r="K21" s="68">
        <f t="shared" si="0"/>
        <v>0</v>
      </c>
    </row>
    <row r="22" spans="2:11" ht="39.950000000000003" customHeight="1" x14ac:dyDescent="0.25">
      <c r="B22" s="403"/>
      <c r="C22" s="404"/>
      <c r="D22" s="404"/>
      <c r="E22" s="404"/>
      <c r="F22" s="404"/>
      <c r="G22" s="404"/>
      <c r="H22" s="405"/>
      <c r="K22" s="68">
        <f t="shared" si="0"/>
        <v>0</v>
      </c>
    </row>
    <row r="23" spans="2:11" ht="39.950000000000003" customHeight="1" x14ac:dyDescent="0.25">
      <c r="B23" s="412"/>
      <c r="C23" s="413"/>
      <c r="D23" s="413"/>
      <c r="E23" s="413"/>
      <c r="F23" s="413"/>
      <c r="G23" s="413"/>
      <c r="H23" s="414"/>
      <c r="K23" s="68">
        <f t="shared" si="0"/>
        <v>0</v>
      </c>
    </row>
    <row r="24" spans="2:11" ht="39.950000000000003" customHeight="1" x14ac:dyDescent="0.25">
      <c r="B24" s="403"/>
      <c r="C24" s="404"/>
      <c r="D24" s="404"/>
      <c r="E24" s="404"/>
      <c r="F24" s="404"/>
      <c r="G24" s="404"/>
      <c r="H24" s="405"/>
      <c r="K24" s="68">
        <f t="shared" si="0"/>
        <v>0</v>
      </c>
    </row>
    <row r="25" spans="2:11" ht="39.75" customHeight="1" thickBot="1" x14ac:dyDescent="0.3">
      <c r="B25" s="468"/>
      <c r="C25" s="469"/>
      <c r="D25" s="469"/>
      <c r="E25" s="469"/>
      <c r="F25" s="469"/>
      <c r="G25" s="469"/>
      <c r="H25" s="470"/>
      <c r="K25" s="68">
        <f t="shared" si="0"/>
        <v>0</v>
      </c>
    </row>
  </sheetData>
  <sheetProtection formatCells="0" formatColumns="0" formatRows="0" insertRows="0" deleteRows="0" selectLockedCells="1" autoFilter="0"/>
  <mergeCells count="17">
    <mergeCell ref="B20:H20"/>
    <mergeCell ref="B4:F5"/>
    <mergeCell ref="B10:H10"/>
    <mergeCell ref="B11:H11"/>
    <mergeCell ref="B12:H12"/>
    <mergeCell ref="B13:H13"/>
    <mergeCell ref="B14:H14"/>
    <mergeCell ref="B15:H15"/>
    <mergeCell ref="B16:H16"/>
    <mergeCell ref="B17:H17"/>
    <mergeCell ref="B18:H18"/>
    <mergeCell ref="B19:H19"/>
    <mergeCell ref="B21:H21"/>
    <mergeCell ref="B22:H22"/>
    <mergeCell ref="B23:H23"/>
    <mergeCell ref="B24:H24"/>
    <mergeCell ref="B25:H25"/>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P40"/>
  <sheetViews>
    <sheetView showGridLines="0" view="pageBreakPreview" zoomScale="85" zoomScaleNormal="85" zoomScaleSheetLayoutView="85" workbookViewId="0">
      <selection activeCell="H13" sqref="H13"/>
    </sheetView>
  </sheetViews>
  <sheetFormatPr baseColWidth="10" defaultColWidth="0" defaultRowHeight="15" zeroHeight="1" x14ac:dyDescent="0.25"/>
  <cols>
    <col min="1" max="1" width="4.42578125" style="3" customWidth="1"/>
    <col min="2" max="2" width="3.42578125" style="3" customWidth="1"/>
    <col min="3" max="3" width="17.140625" style="3" customWidth="1"/>
    <col min="4" max="4" width="16.85546875" style="3" customWidth="1"/>
    <col min="5" max="5" width="13.7109375" style="3" customWidth="1"/>
    <col min="6" max="6" width="19.42578125" style="3" customWidth="1"/>
    <col min="7" max="8" width="19.28515625" style="3" customWidth="1"/>
    <col min="9" max="9" width="7.42578125" style="3" customWidth="1"/>
    <col min="10" max="15" width="11.42578125" style="3" customWidth="1"/>
    <col min="16" max="16" width="0" style="3" hidden="1" customWidth="1"/>
    <col min="17" max="16384" width="11.42578125" style="3" hidden="1"/>
  </cols>
  <sheetData>
    <row r="1" spans="2:12" ht="25.5" customHeight="1" x14ac:dyDescent="0.25"/>
    <row r="2" spans="2:12" ht="90.75" customHeight="1" thickBot="1" x14ac:dyDescent="0.3"/>
    <row r="3" spans="2:12" ht="7.5" hidden="1" customHeight="1" thickBot="1" x14ac:dyDescent="0.3"/>
    <row r="4" spans="2:12" ht="32.25" customHeight="1" x14ac:dyDescent="0.25">
      <c r="B4" s="358" t="str">
        <f>Datos_Generales!B3</f>
        <v>PRESENTACIÓN DE PROYECTOS 
DE INICIACIÓN CIENTIFÍCA 2018 - 2</v>
      </c>
      <c r="C4" s="359"/>
      <c r="D4" s="359"/>
      <c r="E4" s="359"/>
      <c r="F4" s="359"/>
      <c r="G4" s="359"/>
      <c r="H4" s="360"/>
      <c r="K4" s="245" t="s">
        <v>527</v>
      </c>
      <c r="L4" s="99">
        <f>COUNTIF(L12:L24,"&gt;"&amp;meses)</f>
        <v>0</v>
      </c>
    </row>
    <row r="5" spans="2:12" ht="15.75" thickBot="1" x14ac:dyDescent="0.3">
      <c r="B5" s="361"/>
      <c r="C5" s="362"/>
      <c r="D5" s="362"/>
      <c r="E5" s="362"/>
      <c r="F5" s="362"/>
      <c r="G5" s="362"/>
      <c r="H5" s="363"/>
    </row>
    <row r="6" spans="2:12" x14ac:dyDescent="0.25"/>
    <row r="7" spans="2:12" ht="15.75" x14ac:dyDescent="0.25">
      <c r="B7" s="5" t="s">
        <v>331</v>
      </c>
      <c r="C7" s="8" t="s">
        <v>359</v>
      </c>
      <c r="D7" s="9"/>
      <c r="E7" s="9"/>
      <c r="F7" s="9"/>
      <c r="G7" s="207">
        <f>IFERROR(VLOOKUP(Elec_Conv,Conv_Opc,3,0),"")</f>
        <v>5</v>
      </c>
      <c r="H7" s="9"/>
      <c r="K7" s="74" t="s">
        <v>342</v>
      </c>
    </row>
    <row r="8" spans="2:12" ht="15.75" x14ac:dyDescent="0.25">
      <c r="K8" s="96" t="s">
        <v>464</v>
      </c>
    </row>
    <row r="9" spans="2:12" x14ac:dyDescent="0.25">
      <c r="B9" s="7" t="s">
        <v>484</v>
      </c>
      <c r="C9" s="8" t="s">
        <v>353</v>
      </c>
      <c r="D9" s="9"/>
      <c r="E9" s="9"/>
      <c r="F9" s="9"/>
      <c r="G9" s="9"/>
      <c r="H9" s="9"/>
      <c r="K9" s="199" t="s">
        <v>360</v>
      </c>
    </row>
    <row r="10" spans="2:12" ht="16.5" thickBot="1" x14ac:dyDescent="0.3">
      <c r="K10" s="96">
        <f>COUNTIF(K12:K26,"&gt;"&amp;0)</f>
        <v>0</v>
      </c>
      <c r="L10" s="3">
        <f>COUNTIF(L12:L24,"&gt;"&amp;meses)</f>
        <v>0</v>
      </c>
    </row>
    <row r="11" spans="2:12" ht="30" customHeight="1" x14ac:dyDescent="0.25">
      <c r="B11" s="100" t="s">
        <v>261</v>
      </c>
      <c r="C11" s="472" t="s">
        <v>408</v>
      </c>
      <c r="D11" s="473"/>
      <c r="E11" s="473"/>
      <c r="F11" s="474"/>
      <c r="G11" s="101" t="s">
        <v>355</v>
      </c>
      <c r="H11" s="102" t="s">
        <v>354</v>
      </c>
      <c r="K11" s="97" t="s">
        <v>360</v>
      </c>
      <c r="L11" s="98" t="s">
        <v>361</v>
      </c>
    </row>
    <row r="12" spans="2:12" ht="39.950000000000003" customHeight="1" x14ac:dyDescent="0.25">
      <c r="B12" s="103">
        <v>1</v>
      </c>
      <c r="C12" s="475"/>
      <c r="D12" s="476"/>
      <c r="E12" s="476"/>
      <c r="F12" s="477"/>
      <c r="G12" s="93"/>
      <c r="H12" s="104"/>
      <c r="K12" s="99">
        <f t="shared" ref="K12:K17" si="0">LEN(C12)</f>
        <v>0</v>
      </c>
      <c r="L12" s="99">
        <f t="shared" ref="L12:L17" si="1">G12+H12</f>
        <v>0</v>
      </c>
    </row>
    <row r="13" spans="2:12" ht="39.950000000000003" customHeight="1" x14ac:dyDescent="0.25">
      <c r="B13" s="105">
        <f>B12+1</f>
        <v>2</v>
      </c>
      <c r="C13" s="478"/>
      <c r="D13" s="479"/>
      <c r="E13" s="479"/>
      <c r="F13" s="480"/>
      <c r="G13" s="94"/>
      <c r="H13" s="106"/>
      <c r="K13" s="99">
        <f t="shared" si="0"/>
        <v>0</v>
      </c>
      <c r="L13" s="99">
        <f t="shared" si="1"/>
        <v>0</v>
      </c>
    </row>
    <row r="14" spans="2:12" ht="39.950000000000003" customHeight="1" x14ac:dyDescent="0.25">
      <c r="B14" s="103">
        <f t="shared" ref="B14:B23" si="2">B13+1</f>
        <v>3</v>
      </c>
      <c r="C14" s="475"/>
      <c r="D14" s="476"/>
      <c r="E14" s="476"/>
      <c r="F14" s="477"/>
      <c r="G14" s="93"/>
      <c r="H14" s="104"/>
      <c r="K14" s="99">
        <f t="shared" si="0"/>
        <v>0</v>
      </c>
      <c r="L14" s="99">
        <f t="shared" si="1"/>
        <v>0</v>
      </c>
    </row>
    <row r="15" spans="2:12" ht="39.950000000000003" customHeight="1" x14ac:dyDescent="0.25">
      <c r="B15" s="105">
        <f t="shared" si="2"/>
        <v>4</v>
      </c>
      <c r="C15" s="478"/>
      <c r="D15" s="479"/>
      <c r="E15" s="479"/>
      <c r="F15" s="480"/>
      <c r="G15" s="94"/>
      <c r="H15" s="106"/>
      <c r="K15" s="99">
        <f t="shared" si="0"/>
        <v>0</v>
      </c>
      <c r="L15" s="99">
        <f t="shared" si="1"/>
        <v>0</v>
      </c>
    </row>
    <row r="16" spans="2:12" ht="39.950000000000003" customHeight="1" x14ac:dyDescent="0.25">
      <c r="B16" s="103">
        <f t="shared" si="2"/>
        <v>5</v>
      </c>
      <c r="C16" s="475"/>
      <c r="D16" s="476"/>
      <c r="E16" s="476"/>
      <c r="F16" s="477"/>
      <c r="G16" s="93"/>
      <c r="H16" s="104"/>
      <c r="K16" s="99">
        <f t="shared" si="0"/>
        <v>0</v>
      </c>
      <c r="L16" s="99">
        <f t="shared" si="1"/>
        <v>0</v>
      </c>
    </row>
    <row r="17" spans="2:12" ht="39.950000000000003" customHeight="1" x14ac:dyDescent="0.25">
      <c r="B17" s="105">
        <f t="shared" si="2"/>
        <v>6</v>
      </c>
      <c r="C17" s="478"/>
      <c r="D17" s="479"/>
      <c r="E17" s="479"/>
      <c r="F17" s="480"/>
      <c r="G17" s="94"/>
      <c r="H17" s="106"/>
      <c r="K17" s="99">
        <f t="shared" si="0"/>
        <v>0</v>
      </c>
      <c r="L17" s="99">
        <f t="shared" si="1"/>
        <v>0</v>
      </c>
    </row>
    <row r="18" spans="2:12" ht="39.950000000000003" customHeight="1" x14ac:dyDescent="0.25">
      <c r="B18" s="103">
        <f t="shared" si="2"/>
        <v>7</v>
      </c>
      <c r="C18" s="475"/>
      <c r="D18" s="476"/>
      <c r="E18" s="476"/>
      <c r="F18" s="477"/>
      <c r="G18" s="93"/>
      <c r="H18" s="104"/>
      <c r="K18" s="99">
        <f t="shared" ref="K18:K24" si="3">LEN(C18)</f>
        <v>0</v>
      </c>
      <c r="L18" s="99">
        <f t="shared" ref="L18:L24" si="4">G18+H18</f>
        <v>0</v>
      </c>
    </row>
    <row r="19" spans="2:12" ht="39.950000000000003" customHeight="1" x14ac:dyDescent="0.25">
      <c r="B19" s="105">
        <f t="shared" si="2"/>
        <v>8</v>
      </c>
      <c r="C19" s="481"/>
      <c r="D19" s="482"/>
      <c r="E19" s="482"/>
      <c r="F19" s="483"/>
      <c r="G19" s="94"/>
      <c r="H19" s="106"/>
      <c r="K19" s="99">
        <f t="shared" si="3"/>
        <v>0</v>
      </c>
      <c r="L19" s="99">
        <f t="shared" si="4"/>
        <v>0</v>
      </c>
    </row>
    <row r="20" spans="2:12" ht="39.950000000000003" customHeight="1" x14ac:dyDescent="0.25">
      <c r="B20" s="103">
        <f t="shared" si="2"/>
        <v>9</v>
      </c>
      <c r="C20" s="475"/>
      <c r="D20" s="476"/>
      <c r="E20" s="476"/>
      <c r="F20" s="477"/>
      <c r="G20" s="93"/>
      <c r="H20" s="104"/>
      <c r="K20" s="99">
        <f t="shared" si="3"/>
        <v>0</v>
      </c>
      <c r="L20" s="99">
        <f t="shared" si="4"/>
        <v>0</v>
      </c>
    </row>
    <row r="21" spans="2:12" ht="39.950000000000003" customHeight="1" x14ac:dyDescent="0.25">
      <c r="B21" s="105">
        <f t="shared" si="2"/>
        <v>10</v>
      </c>
      <c r="C21" s="478"/>
      <c r="D21" s="479"/>
      <c r="E21" s="479"/>
      <c r="F21" s="480"/>
      <c r="G21" s="94"/>
      <c r="H21" s="106"/>
      <c r="K21" s="99">
        <f t="shared" si="3"/>
        <v>0</v>
      </c>
      <c r="L21" s="99">
        <f t="shared" si="4"/>
        <v>0</v>
      </c>
    </row>
    <row r="22" spans="2:12" ht="39.950000000000003" customHeight="1" x14ac:dyDescent="0.25">
      <c r="B22" s="103">
        <f t="shared" si="2"/>
        <v>11</v>
      </c>
      <c r="C22" s="475"/>
      <c r="D22" s="476"/>
      <c r="E22" s="476"/>
      <c r="F22" s="477"/>
      <c r="G22" s="93"/>
      <c r="H22" s="104"/>
      <c r="K22" s="99">
        <f t="shared" si="3"/>
        <v>0</v>
      </c>
      <c r="L22" s="99">
        <f t="shared" si="4"/>
        <v>0</v>
      </c>
    </row>
    <row r="23" spans="2:12" ht="39.950000000000003" customHeight="1" x14ac:dyDescent="0.25">
      <c r="B23" s="105">
        <f t="shared" si="2"/>
        <v>12</v>
      </c>
      <c r="C23" s="481"/>
      <c r="D23" s="482"/>
      <c r="E23" s="482"/>
      <c r="F23" s="483"/>
      <c r="G23" s="94"/>
      <c r="H23" s="106"/>
      <c r="K23" s="99">
        <f t="shared" si="3"/>
        <v>0</v>
      </c>
      <c r="L23" s="99">
        <f t="shared" si="4"/>
        <v>0</v>
      </c>
    </row>
    <row r="24" spans="2:12" ht="24" thickBot="1" x14ac:dyDescent="0.3">
      <c r="B24" s="107" t="s">
        <v>331</v>
      </c>
      <c r="C24" s="484" t="str">
        <f>IF(L4&gt;0,"Nota : Tiene "&amp;L4&amp;" que sobrepasan la duración del proyecto","")</f>
        <v/>
      </c>
      <c r="D24" s="485"/>
      <c r="E24" s="485"/>
      <c r="F24" s="485"/>
      <c r="G24" s="246"/>
      <c r="H24" s="247"/>
      <c r="K24" s="99">
        <f t="shared" si="3"/>
        <v>0</v>
      </c>
      <c r="L24" s="99">
        <f t="shared" si="4"/>
        <v>0</v>
      </c>
    </row>
    <row r="25" spans="2:12" x14ac:dyDescent="0.25">
      <c r="B25" s="99"/>
      <c r="C25" s="471"/>
      <c r="D25" s="471"/>
      <c r="E25" s="471"/>
      <c r="F25" s="471"/>
      <c r="G25" s="471"/>
      <c r="H25" s="471"/>
      <c r="K25" s="99"/>
      <c r="L25" s="99"/>
    </row>
    <row r="26" spans="2:12" x14ac:dyDescent="0.25">
      <c r="L26" s="99"/>
    </row>
    <row r="27" spans="2:12" x14ac:dyDescent="0.25">
      <c r="L27" s="99"/>
    </row>
    <row r="28" spans="2:12" x14ac:dyDescent="0.25">
      <c r="L28" s="99"/>
    </row>
    <row r="29" spans="2:12" x14ac:dyDescent="0.25">
      <c r="L29" s="99"/>
    </row>
    <row r="30" spans="2:12" x14ac:dyDescent="0.25"/>
    <row r="31" spans="2:12" x14ac:dyDescent="0.25"/>
    <row r="32" spans="2:12" x14ac:dyDescent="0.25"/>
    <row r="33" x14ac:dyDescent="0.25"/>
    <row r="34" x14ac:dyDescent="0.25"/>
    <row r="35" x14ac:dyDescent="0.25"/>
    <row r="36" x14ac:dyDescent="0.25"/>
    <row r="37" x14ac:dyDescent="0.25"/>
    <row r="38" x14ac:dyDescent="0.25"/>
    <row r="39" x14ac:dyDescent="0.25"/>
    <row r="40" x14ac:dyDescent="0.25"/>
  </sheetData>
  <sheetProtection formatCells="0" formatColumns="0" formatRows="0" insertRows="0" deleteColumns="0" selectLockedCells="1" autoFilter="0"/>
  <mergeCells count="16">
    <mergeCell ref="B4:H5"/>
    <mergeCell ref="C25:H25"/>
    <mergeCell ref="C11:F11"/>
    <mergeCell ref="C12:F12"/>
    <mergeCell ref="C13:F13"/>
    <mergeCell ref="C14:F14"/>
    <mergeCell ref="C15:F15"/>
    <mergeCell ref="C16:F16"/>
    <mergeCell ref="C17:F17"/>
    <mergeCell ref="C18:F18"/>
    <mergeCell ref="C19:F19"/>
    <mergeCell ref="C20:F20"/>
    <mergeCell ref="C21:F21"/>
    <mergeCell ref="C22:F22"/>
    <mergeCell ref="C23:F23"/>
    <mergeCell ref="C24:F24"/>
  </mergeCells>
  <conditionalFormatting sqref="L12:L24">
    <cfRule type="cellIs" dxfId="6" priority="1" operator="greaterThan">
      <formula>$G$7</formula>
    </cfRule>
  </conditionalFormatting>
  <dataValidations count="1">
    <dataValidation type="whole" allowBlank="1" showInputMessage="1" showErrorMessage="1" errorTitle="Datos Validos " error="En número entero el Mes y la Duración en meses de la actividad." sqref="G12:H24">
      <formula1>0</formula1>
      <formula2>48</formula2>
    </dataValidation>
  </dataValidation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66</vt:i4>
      </vt:variant>
    </vt:vector>
  </HeadingPairs>
  <TitlesOfParts>
    <vt:vector size="82" baseType="lpstr">
      <vt:lpstr>Datos_Generales</vt:lpstr>
      <vt:lpstr>Resumen</vt:lpstr>
      <vt:lpstr>Descripción</vt:lpstr>
      <vt:lpstr>Objetivos</vt:lpstr>
      <vt:lpstr>Metodología</vt:lpstr>
      <vt:lpstr>Estado_del_Arte</vt:lpstr>
      <vt:lpstr>Marco_Teorico</vt:lpstr>
      <vt:lpstr>Cronograma</vt:lpstr>
      <vt:lpstr>PD</vt:lpstr>
      <vt:lpstr>Integrantes</vt:lpstr>
      <vt:lpstr>Presupuesto</vt:lpstr>
      <vt:lpstr>Impactos</vt:lpstr>
      <vt:lpstr>Grupo</vt:lpstr>
      <vt:lpstr>Biblografia</vt:lpstr>
      <vt:lpstr>Imagenes</vt:lpstr>
      <vt:lpstr>Normas</vt:lpstr>
      <vt:lpstr>Biblografia!Área_de_impresión</vt:lpstr>
      <vt:lpstr>Cronograma!Área_de_impresión</vt:lpstr>
      <vt:lpstr>Datos_Generales!Área_de_impresión</vt:lpstr>
      <vt:lpstr>Descripción!Área_de_impresión</vt:lpstr>
      <vt:lpstr>Estado_del_Arte!Área_de_impresión</vt:lpstr>
      <vt:lpstr>Grupo!Área_de_impresión</vt:lpstr>
      <vt:lpstr>Imagenes!Área_de_impresión</vt:lpstr>
      <vt:lpstr>Impactos!Área_de_impresión</vt:lpstr>
      <vt:lpstr>Integrantes!Área_de_impresión</vt:lpstr>
      <vt:lpstr>Marco_Teorico!Área_de_impresión</vt:lpstr>
      <vt:lpstr>Metodología!Área_de_impresión</vt:lpstr>
      <vt:lpstr>Normas!Área_de_impresión</vt:lpstr>
      <vt:lpstr>Objetivos!Área_de_impresión</vt:lpstr>
      <vt:lpstr>PD!Área_de_impresión</vt:lpstr>
      <vt:lpstr>Presupuesto!Área_de_impresión</vt:lpstr>
      <vt:lpstr>Resumen!Área_de_impresión</vt:lpstr>
      <vt:lpstr>Caract</vt:lpstr>
      <vt:lpstr>Conv_Opc</vt:lpstr>
      <vt:lpstr>Dt_Grupos</vt:lpstr>
      <vt:lpstr>Dt_NBC</vt:lpstr>
      <vt:lpstr>Elec_Conv</vt:lpstr>
      <vt:lpstr>Facultades</vt:lpstr>
      <vt:lpstr>FunProy_PIC</vt:lpstr>
      <vt:lpstr>GP</vt:lpstr>
      <vt:lpstr>Grup_Clasifica</vt:lpstr>
      <vt:lpstr>IncSM</vt:lpstr>
      <vt:lpstr>List_prod</vt:lpstr>
      <vt:lpstr>Lt_GP</vt:lpstr>
      <vt:lpstr>meses</vt:lpstr>
      <vt:lpstr>NVEstudios</vt:lpstr>
      <vt:lpstr>Presupuesto</vt:lpstr>
      <vt:lpstr>PS_Vicein</vt:lpstr>
      <vt:lpstr>Puntos</vt:lpstr>
      <vt:lpstr>Rangos</vt:lpstr>
      <vt:lpstr>RelaPts_Ps</vt:lpstr>
      <vt:lpstr>SEDESUMNG</vt:lpstr>
      <vt:lpstr>Cronograma!SioNo</vt:lpstr>
      <vt:lpstr>Tabla_prod</vt:lpstr>
      <vt:lpstr>Biblografia!Títulos_a_imprimir</vt:lpstr>
      <vt:lpstr>Cronograma!Títulos_a_imprimir</vt:lpstr>
      <vt:lpstr>Datos_Generales!Títulos_a_imprimir</vt:lpstr>
      <vt:lpstr>Descripción!Títulos_a_imprimir</vt:lpstr>
      <vt:lpstr>Estado_del_Arte!Títulos_a_imprimir</vt:lpstr>
      <vt:lpstr>Grupo!Títulos_a_imprimir</vt:lpstr>
      <vt:lpstr>Imagenes!Títulos_a_imprimir</vt:lpstr>
      <vt:lpstr>Impactos!Títulos_a_imprimir</vt:lpstr>
      <vt:lpstr>Integrantes!Títulos_a_imprimir</vt:lpstr>
      <vt:lpstr>Marco_Teorico!Títulos_a_imprimir</vt:lpstr>
      <vt:lpstr>Metodología!Títulos_a_imprimir</vt:lpstr>
      <vt:lpstr>Normas!Títulos_a_imprimir</vt:lpstr>
      <vt:lpstr>Objetivos!Títulos_a_imprimir</vt:lpstr>
      <vt:lpstr>PD!Títulos_a_imprimir</vt:lpstr>
      <vt:lpstr>Presupuesto!Títulos_a_imprimir</vt:lpstr>
      <vt:lpstr>Resumen!Títulos_a_imprimir</vt:lpstr>
      <vt:lpstr>Tp_Entidad</vt:lpstr>
      <vt:lpstr>Tp_Impacto</vt:lpstr>
      <vt:lpstr>Tp_Productos</vt:lpstr>
      <vt:lpstr>Tp_proy</vt:lpstr>
      <vt:lpstr>TP_Rubro</vt:lpstr>
      <vt:lpstr>TpCentro2</vt:lpstr>
      <vt:lpstr>TPConvocatoria</vt:lpstr>
      <vt:lpstr>TpImpac</vt:lpstr>
      <vt:lpstr>VinDoc.Acompañante</vt:lpstr>
      <vt:lpstr>VinEstudiante</vt:lpstr>
      <vt:lpstr>VinTutor</vt:lpstr>
      <vt:lpstr>VinUMNG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presentación Proyectos Vicien</dc:title>
  <dc:subject>Propuesta de proyectos</dc:subject>
  <dc:creator>Luis.Chirivi</dc:creator>
  <cp:keywords>Proyectos de Investigación</cp:keywords>
  <dc:description>Formato ajustado PICS 2017 2  - Sin logo de Calidad 
Pub. 27-02/2017</dc:description>
  <cp:lastModifiedBy>Luis Alexander Chirivi</cp:lastModifiedBy>
  <cp:lastPrinted>2016-02-15T21:43:32Z</cp:lastPrinted>
  <dcterms:created xsi:type="dcterms:W3CDTF">2014-05-03T15:32:47Z</dcterms:created>
  <dcterms:modified xsi:type="dcterms:W3CDTF">2018-04-11T04:29:17Z</dcterms:modified>
  <cp:category>VICEIN-UMNG</cp:category>
  <cp:contentStatus>Propuesta.</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96 96 1440 900</vt:lpwstr>
  </property>
</Properties>
</file>